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5790" windowWidth="19230" windowHeight="5850" tabRatio="976"/>
  </bookViews>
  <sheets>
    <sheet name="zał. nr 2" sheetId="1" r:id="rId1"/>
    <sheet name="Drogi" sheetId="2" r:id="rId2"/>
    <sheet name="Polityka społeczna i rozwój prz" sheetId="3" r:id="rId3"/>
    <sheet name="Ochrona zdrowia" sheetId="4" r:id="rId4"/>
    <sheet name="Oświata" sheetId="5" r:id="rId5"/>
    <sheet name="Administracja" sheetId="6" r:id="rId6"/>
    <sheet name="Kultura" sheetId="7" r:id="rId7"/>
    <sheet name="Rolnictwo i Ochrona środowiska" sheetId="8" r:id="rId8"/>
    <sheet name="Kultura fizyczna i turystyka" sheetId="9" r:id="rId9"/>
    <sheet name="Planowanie przestrzenne" sheetId="10" r:id="rId10"/>
    <sheet name="Arkusz1" sheetId="14" r:id="rId11"/>
  </sheets>
  <definedNames>
    <definedName name="_xlnm._FilterDatabase" localSheetId="1" hidden="1">Drogi!$A$9:$EE$510</definedName>
    <definedName name="_xlnm._FilterDatabase" localSheetId="7" hidden="1">'Rolnictwo i Ochrona środowiska'!$A$3:$S$154</definedName>
    <definedName name="_xlnm.Print_Area" localSheetId="5">Administracja!$A$1:$S$172</definedName>
    <definedName name="_xlnm.Print_Area" localSheetId="1">Drogi!$A$1:$S$555</definedName>
    <definedName name="_xlnm.Print_Area" localSheetId="6">Kultura!$A$1:$S$89</definedName>
    <definedName name="_xlnm.Print_Area" localSheetId="8">'Kultura fizyczna i turystyka'!$A$1:$S$98</definedName>
    <definedName name="_xlnm.Print_Area" localSheetId="3">'Ochrona zdrowia'!$A$1:$S$75</definedName>
    <definedName name="_xlnm.Print_Area" localSheetId="4">Oświata!$A$1:$S$70</definedName>
    <definedName name="_xlnm.Print_Area" localSheetId="9">'Planowanie przestrzenne'!$A$1:$S$30</definedName>
    <definedName name="_xlnm.Print_Area" localSheetId="2">'Polityka społeczna i rozwój prz'!$A$1:$S$190</definedName>
    <definedName name="_xlnm.Print_Area" localSheetId="7">'Rolnictwo i Ochrona środowiska'!$A$1:$S$260</definedName>
    <definedName name="_xlnm.Print_Area" localSheetId="0">'zał. nr 2'!$A$1:$Q$78</definedName>
    <definedName name="_xlnm.Print_Titles" localSheetId="5">Administracja!$5:$9</definedName>
    <definedName name="_xlnm.Print_Titles" localSheetId="1">Drogi!$6:$10</definedName>
    <definedName name="_xlnm.Print_Titles" localSheetId="6">Kultura!$4:$8</definedName>
    <definedName name="_xlnm.Print_Titles" localSheetId="8">'Kultura fizyczna i turystyka'!$6:$10</definedName>
    <definedName name="_xlnm.Print_Titles" localSheetId="3">'Ochrona zdrowia'!$4:$8</definedName>
    <definedName name="_xlnm.Print_Titles" localSheetId="4">Oświata!$6:$9</definedName>
    <definedName name="_xlnm.Print_Titles" localSheetId="9">'Planowanie przestrzenne'!$6:$10</definedName>
    <definedName name="_xlnm.Print_Titles" localSheetId="2">'Polityka społeczna i rozwój prz'!$4:$8</definedName>
    <definedName name="_xlnm.Print_Titles" localSheetId="7">'Rolnictwo i Ochrona środowiska'!$4:$8</definedName>
  </definedNames>
  <calcPr calcId="145621"/>
</workbook>
</file>

<file path=xl/calcChain.xml><?xml version="1.0" encoding="utf-8"?>
<calcChain xmlns="http://schemas.openxmlformats.org/spreadsheetml/2006/main">
  <c r="N136" i="6" l="1"/>
  <c r="N132" i="6" l="1"/>
  <c r="D144" i="6"/>
  <c r="D132" i="6"/>
  <c r="Q9" i="8" l="1"/>
  <c r="O9" i="8"/>
  <c r="V42" i="2"/>
  <c r="M16" i="1"/>
  <c r="M17" i="1"/>
  <c r="M18" i="1"/>
  <c r="M19" i="1"/>
  <c r="M20" i="1"/>
  <c r="M21" i="1"/>
  <c r="M23" i="1"/>
  <c r="M24" i="1"/>
  <c r="M25" i="1"/>
  <c r="M30" i="1"/>
  <c r="M31" i="1"/>
  <c r="M32" i="1"/>
  <c r="M33" i="1"/>
  <c r="M34" i="1"/>
  <c r="M36" i="1"/>
  <c r="M37" i="1"/>
  <c r="D463" i="2"/>
  <c r="I463" i="2"/>
  <c r="I464" i="2"/>
  <c r="M15" i="1" l="1"/>
  <c r="O14" i="10"/>
  <c r="O15" i="10"/>
  <c r="O16" i="10"/>
  <c r="O17" i="10"/>
  <c r="O18" i="10"/>
  <c r="O23" i="10"/>
  <c r="O24" i="10"/>
  <c r="O25" i="10"/>
  <c r="O26" i="10"/>
  <c r="O27" i="10"/>
  <c r="Q14" i="10"/>
  <c r="Q15" i="10"/>
  <c r="Q16" i="10"/>
  <c r="Q17" i="10"/>
  <c r="Q18" i="10"/>
  <c r="Q23" i="10"/>
  <c r="Q24" i="10"/>
  <c r="Q25" i="10"/>
  <c r="Q26" i="10"/>
  <c r="Q27" i="10"/>
  <c r="Q30" i="10"/>
  <c r="O12" i="10"/>
  <c r="O11" i="10"/>
  <c r="Q12" i="10"/>
  <c r="Q11" i="10"/>
  <c r="Q27" i="9"/>
  <c r="Q12" i="9"/>
  <c r="P12" i="9"/>
  <c r="O12" i="9"/>
  <c r="N12" i="9"/>
  <c r="Q57" i="9"/>
  <c r="O67" i="9"/>
  <c r="O21" i="9"/>
  <c r="O16" i="9"/>
  <c r="O19" i="9"/>
  <c r="O20" i="9"/>
  <c r="O23" i="9"/>
  <c r="O24" i="9"/>
  <c r="O25" i="9"/>
  <c r="O26" i="9"/>
  <c r="O27" i="9"/>
  <c r="O28" i="9"/>
  <c r="O29" i="9"/>
  <c r="O30" i="9"/>
  <c r="O32" i="9"/>
  <c r="O33" i="9"/>
  <c r="O34" i="9"/>
  <c r="O35" i="9"/>
  <c r="O36" i="9"/>
  <c r="O37" i="9"/>
  <c r="O38" i="9"/>
  <c r="O39" i="9"/>
  <c r="O41" i="9"/>
  <c r="O42" i="9"/>
  <c r="O43" i="9"/>
  <c r="O44" i="9"/>
  <c r="O45" i="9"/>
  <c r="O46" i="9"/>
  <c r="O48" i="9"/>
  <c r="O49" i="9"/>
  <c r="O50" i="9"/>
  <c r="O51" i="9"/>
  <c r="O52" i="9"/>
  <c r="O53" i="9"/>
  <c r="Q19" i="9"/>
  <c r="Q20" i="9"/>
  <c r="Q21" i="9"/>
  <c r="Q23" i="9"/>
  <c r="Q24" i="9"/>
  <c r="Q25" i="9"/>
  <c r="Q26" i="9"/>
  <c r="Q28" i="9"/>
  <c r="Q29" i="9"/>
  <c r="Q30" i="9"/>
  <c r="Q32" i="9"/>
  <c r="Q33" i="9"/>
  <c r="Q34" i="9"/>
  <c r="Q35" i="9"/>
  <c r="Q36" i="9"/>
  <c r="Q37" i="9"/>
  <c r="Q38" i="9"/>
  <c r="Q39" i="9"/>
  <c r="Q41" i="9"/>
  <c r="Q42" i="9"/>
  <c r="Q43" i="9"/>
  <c r="Q44" i="9"/>
  <c r="Q45" i="9"/>
  <c r="Q46" i="9"/>
  <c r="Q48" i="9"/>
  <c r="Q49" i="9"/>
  <c r="Q50" i="9"/>
  <c r="Q51" i="9"/>
  <c r="Q52" i="9"/>
  <c r="Q53" i="9"/>
  <c r="Q60" i="9"/>
  <c r="Q16" i="9"/>
  <c r="O15" i="9"/>
  <c r="Q15" i="9"/>
  <c r="U74" i="8"/>
  <c r="O250" i="8"/>
  <c r="Q250" i="8"/>
  <c r="Q20" i="7"/>
  <c r="P18" i="7"/>
  <c r="Q89" i="7"/>
  <c r="K67" i="5" l="1"/>
  <c r="K64" i="5"/>
  <c r="K61" i="5"/>
  <c r="K58" i="5"/>
  <c r="K151" i="6" l="1"/>
  <c r="O90" i="8" l="1"/>
  <c r="N205" i="8"/>
  <c r="N93" i="8"/>
  <c r="Q82" i="8"/>
  <c r="P238" i="8"/>
  <c r="P237" i="8"/>
  <c r="P234" i="8"/>
  <c r="P233" i="8"/>
  <c r="O229" i="8"/>
  <c r="O230" i="8"/>
  <c r="O231" i="8"/>
  <c r="O232" i="8"/>
  <c r="O233" i="8"/>
  <c r="O234" i="8"/>
  <c r="O235" i="8"/>
  <c r="O236" i="8"/>
  <c r="O237" i="8"/>
  <c r="O238" i="8"/>
  <c r="O240" i="8"/>
  <c r="O241" i="8"/>
  <c r="O242" i="8"/>
  <c r="O243" i="8"/>
  <c r="O244" i="8"/>
  <c r="O245" i="8"/>
  <c r="O247" i="8"/>
  <c r="O248" i="8"/>
  <c r="O249" i="8"/>
  <c r="O251" i="8"/>
  <c r="O252" i="8"/>
  <c r="O253" i="8"/>
  <c r="O254" i="8"/>
  <c r="Q229" i="8"/>
  <c r="Q232" i="8"/>
  <c r="Q233" i="8"/>
  <c r="Q234" i="8"/>
  <c r="Q237" i="8"/>
  <c r="Q238" i="8"/>
  <c r="Q247" i="8"/>
  <c r="Q248" i="8"/>
  <c r="Q249" i="8"/>
  <c r="Q251" i="8"/>
  <c r="Q252" i="8"/>
  <c r="Q253" i="8"/>
  <c r="O227" i="8"/>
  <c r="O17" i="8"/>
  <c r="O22" i="8"/>
  <c r="O28" i="8"/>
  <c r="O32" i="8"/>
  <c r="O34" i="8"/>
  <c r="O35" i="8"/>
  <c r="O36" i="8"/>
  <c r="O37" i="8"/>
  <c r="O38" i="8"/>
  <c r="O39" i="8"/>
  <c r="O46" i="8"/>
  <c r="O48" i="8"/>
  <c r="O49" i="8"/>
  <c r="O50" i="8"/>
  <c r="O51" i="8"/>
  <c r="O52" i="8"/>
  <c r="O53" i="8"/>
  <c r="O54" i="8"/>
  <c r="O55" i="8"/>
  <c r="O56" i="8"/>
  <c r="O57" i="8"/>
  <c r="O58" i="8"/>
  <c r="O59" i="8"/>
  <c r="O61" i="8"/>
  <c r="O62" i="8"/>
  <c r="O63" i="8"/>
  <c r="O64" i="8"/>
  <c r="O65" i="8"/>
  <c r="O66" i="8"/>
  <c r="O67" i="8"/>
  <c r="O68" i="8"/>
  <c r="O69" i="8"/>
  <c r="O70" i="8"/>
  <c r="O71" i="8"/>
  <c r="O72" i="8"/>
  <c r="O77" i="8"/>
  <c r="O78" i="8"/>
  <c r="O79" i="8"/>
  <c r="O80" i="8"/>
  <c r="O81" i="8"/>
  <c r="O82" i="8"/>
  <c r="O83" i="8"/>
  <c r="O84" i="8"/>
  <c r="O85" i="8"/>
  <c r="O86" i="8"/>
  <c r="O87" i="8"/>
  <c r="O88" i="8"/>
  <c r="O92" i="8"/>
  <c r="O94" i="8"/>
  <c r="O97" i="8"/>
  <c r="O101" i="8"/>
  <c r="O104" i="8"/>
  <c r="O106" i="8"/>
  <c r="O107" i="8"/>
  <c r="O108" i="8"/>
  <c r="O109" i="8"/>
  <c r="O110" i="8"/>
  <c r="O114" i="8"/>
  <c r="O115" i="8"/>
  <c r="O117" i="8"/>
  <c r="O118" i="8"/>
  <c r="O119" i="8"/>
  <c r="O120" i="8"/>
  <c r="O121" i="8"/>
  <c r="O122" i="8"/>
  <c r="O123" i="8"/>
  <c r="O124" i="8"/>
  <c r="O125" i="8"/>
  <c r="O126" i="8"/>
  <c r="O128" i="8"/>
  <c r="O129" i="8"/>
  <c r="O130" i="8"/>
  <c r="O131" i="8"/>
  <c r="O132" i="8"/>
  <c r="O133" i="8"/>
  <c r="O134" i="8"/>
  <c r="O135" i="8"/>
  <c r="O136" i="8"/>
  <c r="O137" i="8"/>
  <c r="O138" i="8"/>
  <c r="O139" i="8"/>
  <c r="O140" i="8"/>
  <c r="O141" i="8"/>
  <c r="O142" i="8"/>
  <c r="O143" i="8"/>
  <c r="O144" i="8"/>
  <c r="O145" i="8"/>
  <c r="O146" i="8"/>
  <c r="O147" i="8"/>
  <c r="O148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O177" i="8"/>
  <c r="O178" i="8"/>
  <c r="O179" i="8"/>
  <c r="O180" i="8"/>
  <c r="O181" i="8"/>
  <c r="O182" i="8"/>
  <c r="O183" i="8"/>
  <c r="O184" i="8"/>
  <c r="O185" i="8"/>
  <c r="O186" i="8"/>
  <c r="O188" i="8"/>
  <c r="O189" i="8"/>
  <c r="O190" i="8"/>
  <c r="O191" i="8"/>
  <c r="O192" i="8"/>
  <c r="O193" i="8"/>
  <c r="O194" i="8"/>
  <c r="O195" i="8"/>
  <c r="O196" i="8"/>
  <c r="O197" i="8"/>
  <c r="O198" i="8"/>
  <c r="O199" i="8"/>
  <c r="O200" i="8"/>
  <c r="O201" i="8"/>
  <c r="Q17" i="8"/>
  <c r="Q22" i="8"/>
  <c r="Q34" i="8"/>
  <c r="Q35" i="8"/>
  <c r="Q36" i="8"/>
  <c r="Q37" i="8"/>
  <c r="Q38" i="8"/>
  <c r="Q39" i="8"/>
  <c r="Q42" i="8"/>
  <c r="Q43" i="8"/>
  <c r="Q45" i="8"/>
  <c r="Q46" i="8"/>
  <c r="Q48" i="8"/>
  <c r="Q49" i="8"/>
  <c r="Q50" i="8"/>
  <c r="Q51" i="8"/>
  <c r="Q52" i="8"/>
  <c r="Q53" i="8"/>
  <c r="Q54" i="8"/>
  <c r="Q55" i="8"/>
  <c r="Q56" i="8"/>
  <c r="Q57" i="8"/>
  <c r="Q58" i="8"/>
  <c r="Q59" i="8"/>
  <c r="Q63" i="8"/>
  <c r="Q70" i="8"/>
  <c r="Q77" i="8"/>
  <c r="Q79" i="8"/>
  <c r="Q80" i="8"/>
  <c r="Q83" i="8"/>
  <c r="Q84" i="8"/>
  <c r="Q86" i="8"/>
  <c r="Q87" i="8"/>
  <c r="Q92" i="8"/>
  <c r="Q106" i="8"/>
  <c r="Q107" i="8"/>
  <c r="Q108" i="8"/>
  <c r="Q109" i="8"/>
  <c r="Q110" i="8"/>
  <c r="Q113" i="8"/>
  <c r="Q117" i="8"/>
  <c r="Q118" i="8"/>
  <c r="Q119" i="8"/>
  <c r="Q120" i="8"/>
  <c r="Q121" i="8"/>
  <c r="Q122" i="8"/>
  <c r="Q123" i="8"/>
  <c r="Q124" i="8"/>
  <c r="Q128" i="8"/>
  <c r="Q129" i="8"/>
  <c r="Q130" i="8"/>
  <c r="Q131" i="8"/>
  <c r="Q132" i="8"/>
  <c r="Q134" i="8"/>
  <c r="Q135" i="8"/>
  <c r="Q136" i="8"/>
  <c r="Q137" i="8"/>
  <c r="Q138" i="8"/>
  <c r="Q139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Q177" i="8"/>
  <c r="Q178" i="8"/>
  <c r="Q179" i="8"/>
  <c r="Q180" i="8"/>
  <c r="Q181" i="8"/>
  <c r="Q182" i="8"/>
  <c r="Q183" i="8"/>
  <c r="Q184" i="8"/>
  <c r="Q185" i="8"/>
  <c r="Q186" i="8"/>
  <c r="Q188" i="8"/>
  <c r="Q189" i="8"/>
  <c r="Q190" i="8"/>
  <c r="Q191" i="8"/>
  <c r="Q192" i="8"/>
  <c r="Q194" i="8"/>
  <c r="Q195" i="8"/>
  <c r="Q196" i="8"/>
  <c r="Q197" i="8"/>
  <c r="Q199" i="8"/>
  <c r="Q200" i="8"/>
  <c r="Q205" i="8"/>
  <c r="Q206" i="8"/>
  <c r="Q208" i="8"/>
  <c r="Q209" i="8"/>
  <c r="Q212" i="8"/>
  <c r="Q213" i="8"/>
  <c r="Q215" i="8"/>
  <c r="Q216" i="8"/>
  <c r="Q220" i="8"/>
  <c r="Q222" i="8"/>
  <c r="Q225" i="8"/>
  <c r="Q43" i="7"/>
  <c r="P57" i="7"/>
  <c r="R57" i="7"/>
  <c r="R58" i="7"/>
  <c r="O14" i="7"/>
  <c r="O16" i="7"/>
  <c r="O17" i="7"/>
  <c r="O18" i="7"/>
  <c r="O19" i="7"/>
  <c r="O20" i="7"/>
  <c r="O21" i="7"/>
  <c r="O22" i="7"/>
  <c r="O24" i="7"/>
  <c r="O25" i="7"/>
  <c r="O26" i="7"/>
  <c r="O27" i="7"/>
  <c r="O28" i="7"/>
  <c r="O29" i="7"/>
  <c r="O30" i="7"/>
  <c r="O31" i="7"/>
  <c r="O33" i="7"/>
  <c r="O34" i="7"/>
  <c r="O35" i="7"/>
  <c r="O36" i="7"/>
  <c r="O37" i="7"/>
  <c r="O38" i="7"/>
  <c r="O39" i="7"/>
  <c r="O40" i="7"/>
  <c r="O41" i="7"/>
  <c r="O42" i="7"/>
  <c r="O43" i="7"/>
  <c r="O45" i="7"/>
  <c r="O46" i="7"/>
  <c r="O47" i="7"/>
  <c r="O48" i="7"/>
  <c r="O49" i="7"/>
  <c r="O50" i="7"/>
  <c r="O51" i="7"/>
  <c r="O52" i="7"/>
  <c r="O53" i="7"/>
  <c r="O54" i="7"/>
  <c r="O60" i="7"/>
  <c r="O61" i="7"/>
  <c r="O62" i="7"/>
  <c r="O67" i="7"/>
  <c r="O68" i="7"/>
  <c r="O69" i="7"/>
  <c r="O70" i="7"/>
  <c r="O71" i="7"/>
  <c r="O72" i="7"/>
  <c r="O73" i="7"/>
  <c r="O74" i="7"/>
  <c r="O75" i="7"/>
  <c r="O76" i="7"/>
  <c r="O77" i="7"/>
  <c r="O82" i="7"/>
  <c r="O83" i="7"/>
  <c r="O84" i="7"/>
  <c r="O85" i="7"/>
  <c r="O86" i="7"/>
  <c r="O87" i="7"/>
  <c r="O88" i="7"/>
  <c r="O89" i="7"/>
  <c r="Q16" i="7"/>
  <c r="Q17" i="7"/>
  <c r="Q18" i="7"/>
  <c r="Q19" i="7"/>
  <c r="Q21" i="7"/>
  <c r="Q22" i="7"/>
  <c r="Q24" i="7"/>
  <c r="Q25" i="7"/>
  <c r="Q26" i="7"/>
  <c r="Q27" i="7"/>
  <c r="Q28" i="7"/>
  <c r="Q29" i="7"/>
  <c r="Q30" i="7"/>
  <c r="Q31" i="7"/>
  <c r="Q33" i="7"/>
  <c r="Q34" i="7"/>
  <c r="Q36" i="7"/>
  <c r="Q37" i="7"/>
  <c r="Q38" i="7"/>
  <c r="Q39" i="7"/>
  <c r="Q40" i="7"/>
  <c r="Q41" i="7"/>
  <c r="Q42" i="7"/>
  <c r="Q45" i="7"/>
  <c r="Q46" i="7"/>
  <c r="Q47" i="7"/>
  <c r="Q48" i="7"/>
  <c r="Q49" i="7"/>
  <c r="Q50" i="7"/>
  <c r="Q51" i="7"/>
  <c r="Q52" i="7"/>
  <c r="Q53" i="7"/>
  <c r="Q54" i="7"/>
  <c r="Q60" i="7"/>
  <c r="Q61" i="7"/>
  <c r="Q62" i="7"/>
  <c r="Q74" i="7"/>
  <c r="Q75" i="7"/>
  <c r="Q82" i="7"/>
  <c r="Q83" i="7"/>
  <c r="Q84" i="7"/>
  <c r="Q85" i="7"/>
  <c r="Q86" i="7"/>
  <c r="Q87" i="7"/>
  <c r="Q88" i="7"/>
  <c r="Q27" i="6"/>
  <c r="Q32" i="6"/>
  <c r="Q71" i="6"/>
  <c r="Q74" i="6"/>
  <c r="Q78" i="6"/>
  <c r="Q81" i="6"/>
  <c r="Q85" i="6"/>
  <c r="Q87" i="6"/>
  <c r="Q90" i="6"/>
  <c r="Q92" i="6"/>
  <c r="Q96" i="6"/>
  <c r="Q98" i="6"/>
  <c r="Q101" i="6"/>
  <c r="Q124" i="6"/>
  <c r="Q132" i="6"/>
  <c r="Q136" i="6"/>
  <c r="Q140" i="6"/>
  <c r="Q144" i="6"/>
  <c r="Q148" i="6"/>
  <c r="Q152" i="6"/>
  <c r="Q156" i="6"/>
  <c r="Q160" i="6"/>
  <c r="Q164" i="6"/>
  <c r="Q168" i="6"/>
  <c r="Q172" i="6"/>
  <c r="Q58" i="5"/>
  <c r="Q59" i="5"/>
  <c r="Q61" i="5"/>
  <c r="Q64" i="5"/>
  <c r="Q65" i="5"/>
  <c r="Q67" i="5"/>
  <c r="Q24" i="5"/>
  <c r="Q26" i="5"/>
  <c r="Q29" i="5"/>
  <c r="O16" i="4"/>
  <c r="Q9" i="4"/>
  <c r="R465" i="2"/>
  <c r="P56" i="7" l="1"/>
  <c r="K465" i="2"/>
  <c r="J465" i="2"/>
  <c r="J462" i="2"/>
  <c r="J460" i="2"/>
  <c r="R56" i="7" l="1"/>
  <c r="J538" i="2"/>
  <c r="N538" i="2" s="1"/>
  <c r="O17" i="4" l="1"/>
  <c r="O18" i="4"/>
  <c r="O19" i="4"/>
  <c r="O20" i="4"/>
  <c r="O21" i="4"/>
  <c r="O22" i="4"/>
  <c r="O23" i="4"/>
  <c r="O24" i="4"/>
  <c r="O25" i="4"/>
  <c r="O26" i="4"/>
  <c r="O28" i="4"/>
  <c r="O29" i="4"/>
  <c r="O30" i="4"/>
  <c r="O31" i="4"/>
  <c r="O32" i="4"/>
  <c r="O33" i="4"/>
  <c r="O34" i="4"/>
  <c r="O35" i="4"/>
  <c r="O36" i="4"/>
  <c r="O38" i="4"/>
  <c r="O39" i="4"/>
  <c r="O40" i="4"/>
  <c r="O41" i="4"/>
  <c r="O42" i="4"/>
  <c r="O43" i="4"/>
  <c r="O44" i="4"/>
  <c r="O45" i="4"/>
  <c r="O46" i="4"/>
  <c r="O48" i="4"/>
  <c r="O49" i="4"/>
  <c r="O50" i="4"/>
  <c r="O51" i="4"/>
  <c r="O52" i="4"/>
  <c r="O53" i="4"/>
  <c r="O54" i="4"/>
  <c r="O55" i="4"/>
  <c r="O56" i="4"/>
  <c r="O57" i="4"/>
  <c r="O58" i="4"/>
  <c r="O59" i="4"/>
  <c r="O61" i="4"/>
  <c r="O62" i="4"/>
  <c r="O63" i="4"/>
  <c r="O65" i="4"/>
  <c r="O66" i="4"/>
  <c r="O67" i="4"/>
  <c r="O69" i="4"/>
  <c r="O70" i="4"/>
  <c r="O71" i="4"/>
  <c r="O15" i="4"/>
  <c r="Q16" i="4"/>
  <c r="Q17" i="4"/>
  <c r="Q18" i="4"/>
  <c r="Q19" i="4"/>
  <c r="Q20" i="4"/>
  <c r="Q21" i="4"/>
  <c r="Q22" i="4"/>
  <c r="Q23" i="4"/>
  <c r="Q24" i="4"/>
  <c r="Q25" i="4"/>
  <c r="Q26" i="4"/>
  <c r="Q28" i="4"/>
  <c r="Q29" i="4"/>
  <c r="Q30" i="4"/>
  <c r="Q31" i="4"/>
  <c r="Q32" i="4"/>
  <c r="Q33" i="4"/>
  <c r="Q34" i="4"/>
  <c r="Q35" i="4"/>
  <c r="Q36" i="4"/>
  <c r="Q38" i="4"/>
  <c r="Q39" i="4"/>
  <c r="Q41" i="4"/>
  <c r="Q48" i="4"/>
  <c r="Q49" i="4"/>
  <c r="Q50" i="4"/>
  <c r="Q51" i="4"/>
  <c r="Q52" i="4"/>
  <c r="Q53" i="4"/>
  <c r="Q54" i="4"/>
  <c r="Q55" i="4"/>
  <c r="Q56" i="4"/>
  <c r="Q57" i="4"/>
  <c r="Q58" i="4"/>
  <c r="Q59" i="4"/>
  <c r="Q61" i="4"/>
  <c r="Q62" i="4"/>
  <c r="Q63" i="4"/>
  <c r="Q65" i="4"/>
  <c r="Q66" i="4"/>
  <c r="Q67" i="4"/>
  <c r="Q15" i="4"/>
  <c r="Q14" i="4"/>
  <c r="Q13" i="4"/>
  <c r="Q12" i="4"/>
  <c r="Q11" i="4"/>
  <c r="Q10" i="4"/>
  <c r="O9" i="4"/>
  <c r="O85" i="3"/>
  <c r="O49" i="3"/>
  <c r="O14" i="4"/>
  <c r="O13" i="4"/>
  <c r="O12" i="4"/>
  <c r="O11" i="4"/>
  <c r="O10" i="4"/>
  <c r="O23" i="3"/>
  <c r="O24" i="3"/>
  <c r="O25" i="3"/>
  <c r="O26" i="3"/>
  <c r="O27" i="3"/>
  <c r="O28" i="3"/>
  <c r="O29" i="3"/>
  <c r="O31" i="3"/>
  <c r="O32" i="3"/>
  <c r="O33" i="3"/>
  <c r="O34" i="3"/>
  <c r="O35" i="3"/>
  <c r="O36" i="3"/>
  <c r="O50" i="3"/>
  <c r="O51" i="3"/>
  <c r="O52" i="3"/>
  <c r="O53" i="3"/>
  <c r="O54" i="3"/>
  <c r="O55" i="3"/>
  <c r="O56" i="3"/>
  <c r="O57" i="3"/>
  <c r="O58" i="3"/>
  <c r="O59" i="3"/>
  <c r="O61" i="3"/>
  <c r="O62" i="3"/>
  <c r="O63" i="3"/>
  <c r="O64" i="3"/>
  <c r="O65" i="3"/>
  <c r="O66" i="3"/>
  <c r="O67" i="3"/>
  <c r="O68" i="3"/>
  <c r="O69" i="3"/>
  <c r="O70" i="3"/>
  <c r="O71" i="3"/>
  <c r="O73" i="3"/>
  <c r="O74" i="3"/>
  <c r="O75" i="3"/>
  <c r="O76" i="3"/>
  <c r="O77" i="3"/>
  <c r="O78" i="3"/>
  <c r="O79" i="3"/>
  <c r="O80" i="3"/>
  <c r="O81" i="3"/>
  <c r="O82" i="3"/>
  <c r="O83" i="3"/>
  <c r="O86" i="3"/>
  <c r="O87" i="3"/>
  <c r="O88" i="3"/>
  <c r="O89" i="3"/>
  <c r="O90" i="3"/>
  <c r="O91" i="3"/>
  <c r="O92" i="3"/>
  <c r="O93" i="3"/>
  <c r="O94" i="3"/>
  <c r="O96" i="3"/>
  <c r="O97" i="3"/>
  <c r="O98" i="3"/>
  <c r="O99" i="3"/>
  <c r="O100" i="3"/>
  <c r="O101" i="3"/>
  <c r="O102" i="3"/>
  <c r="O103" i="3"/>
  <c r="O104" i="3"/>
  <c r="O105" i="3"/>
  <c r="O106" i="3"/>
  <c r="O108" i="3"/>
  <c r="O109" i="3"/>
  <c r="O110" i="3"/>
  <c r="O111" i="3"/>
  <c r="O112" i="3"/>
  <c r="O113" i="3"/>
  <c r="O114" i="3"/>
  <c r="O115" i="3"/>
  <c r="O116" i="3"/>
  <c r="O117" i="3"/>
  <c r="O118" i="3"/>
  <c r="O120" i="3"/>
  <c r="O121" i="3"/>
  <c r="O122" i="3"/>
  <c r="O123" i="3"/>
  <c r="O124" i="3"/>
  <c r="O125" i="3"/>
  <c r="O126" i="3"/>
  <c r="O127" i="3"/>
  <c r="O128" i="3"/>
  <c r="O129" i="3"/>
  <c r="O130" i="3"/>
  <c r="O132" i="3"/>
  <c r="O133" i="3"/>
  <c r="O134" i="3"/>
  <c r="O135" i="3"/>
  <c r="O136" i="3"/>
  <c r="O137" i="3"/>
  <c r="O138" i="3"/>
  <c r="O139" i="3"/>
  <c r="O140" i="3"/>
  <c r="O141" i="3"/>
  <c r="O142" i="3"/>
  <c r="O144" i="3"/>
  <c r="O145" i="3"/>
  <c r="O146" i="3"/>
  <c r="O147" i="3"/>
  <c r="O148" i="3"/>
  <c r="O149" i="3"/>
  <c r="O150" i="3"/>
  <c r="O151" i="3"/>
  <c r="O152" i="3"/>
  <c r="O153" i="3"/>
  <c r="O154" i="3"/>
  <c r="O156" i="3"/>
  <c r="O157" i="3"/>
  <c r="O158" i="3"/>
  <c r="O159" i="3"/>
  <c r="O160" i="3"/>
  <c r="O161" i="3"/>
  <c r="O162" i="3"/>
  <c r="O163" i="3"/>
  <c r="O164" i="3"/>
  <c r="O165" i="3"/>
  <c r="O166" i="3"/>
  <c r="O168" i="3"/>
  <c r="O169" i="3"/>
  <c r="O170" i="3"/>
  <c r="O171" i="3"/>
  <c r="O172" i="3"/>
  <c r="O173" i="3"/>
  <c r="O174" i="3"/>
  <c r="O175" i="3"/>
  <c r="O176" i="3"/>
  <c r="O177" i="3"/>
  <c r="O178" i="3"/>
  <c r="O180" i="3"/>
  <c r="O181" i="3"/>
  <c r="O182" i="3"/>
  <c r="O183" i="3"/>
  <c r="O184" i="3"/>
  <c r="O185" i="3"/>
  <c r="O186" i="3"/>
  <c r="O187" i="3"/>
  <c r="O188" i="3"/>
  <c r="O189" i="3"/>
  <c r="O190" i="3"/>
  <c r="Q23" i="3"/>
  <c r="Q24" i="3"/>
  <c r="Q25" i="3"/>
  <c r="Q26" i="3"/>
  <c r="Q27" i="3"/>
  <c r="Q28" i="3"/>
  <c r="Q29" i="3"/>
  <c r="Q31" i="3"/>
  <c r="Q32" i="3"/>
  <c r="Q33" i="3"/>
  <c r="Q40" i="3"/>
  <c r="Q42" i="3"/>
  <c r="Q45" i="3"/>
  <c r="Q47" i="3"/>
  <c r="Q51" i="3"/>
  <c r="Q61" i="3"/>
  <c r="Q62" i="3"/>
  <c r="Q63" i="3"/>
  <c r="Q64" i="3"/>
  <c r="Q65" i="3"/>
  <c r="Q66" i="3"/>
  <c r="Q67" i="3"/>
  <c r="Q68" i="3"/>
  <c r="Q69" i="3"/>
  <c r="Q70" i="3"/>
  <c r="Q71" i="3"/>
  <c r="Q73" i="3"/>
  <c r="Q74" i="3"/>
  <c r="Q75" i="3"/>
  <c r="Q76" i="3"/>
  <c r="Q77" i="3"/>
  <c r="Q78" i="3"/>
  <c r="Q79" i="3"/>
  <c r="Q80" i="3"/>
  <c r="Q81" i="3"/>
  <c r="Q82" i="3"/>
  <c r="Q83" i="3"/>
  <c r="Q96" i="3"/>
  <c r="Q97" i="3"/>
  <c r="Q98" i="3"/>
  <c r="Q99" i="3"/>
  <c r="Q100" i="3"/>
  <c r="Q101" i="3"/>
  <c r="Q102" i="3"/>
  <c r="Q103" i="3"/>
  <c r="Q104" i="3"/>
  <c r="Q105" i="3"/>
  <c r="Q106" i="3"/>
  <c r="Q108" i="3"/>
  <c r="Q109" i="3"/>
  <c r="Q110" i="3"/>
  <c r="Q111" i="3"/>
  <c r="Q112" i="3"/>
  <c r="Q113" i="3"/>
  <c r="Q114" i="3"/>
  <c r="Q115" i="3"/>
  <c r="Q116" i="3"/>
  <c r="Q117" i="3"/>
  <c r="Q118" i="3"/>
  <c r="Q120" i="3"/>
  <c r="Q121" i="3"/>
  <c r="Q122" i="3"/>
  <c r="Q123" i="3"/>
  <c r="Q124" i="3"/>
  <c r="Q125" i="3"/>
  <c r="Q126" i="3"/>
  <c r="Q127" i="3"/>
  <c r="Q128" i="3"/>
  <c r="Q129" i="3"/>
  <c r="Q130" i="3"/>
  <c r="Q132" i="3"/>
  <c r="Q133" i="3"/>
  <c r="Q134" i="3"/>
  <c r="Q136" i="3"/>
  <c r="Q137" i="3"/>
  <c r="Q138" i="3"/>
  <c r="Q141" i="3"/>
  <c r="Q142" i="3"/>
  <c r="Q144" i="3"/>
  <c r="Q145" i="3"/>
  <c r="Q146" i="3"/>
  <c r="Q147" i="3"/>
  <c r="Q148" i="3"/>
  <c r="Q149" i="3"/>
  <c r="Q150" i="3"/>
  <c r="Q151" i="3"/>
  <c r="Q152" i="3"/>
  <c r="Q153" i="3"/>
  <c r="Q154" i="3"/>
  <c r="Q156" i="3"/>
  <c r="Q157" i="3"/>
  <c r="Q158" i="3"/>
  <c r="Q159" i="3"/>
  <c r="Q160" i="3"/>
  <c r="Q161" i="3"/>
  <c r="Q162" i="3"/>
  <c r="Q163" i="3"/>
  <c r="Q164" i="3"/>
  <c r="Q165" i="3"/>
  <c r="Q166" i="3"/>
  <c r="Q168" i="3"/>
  <c r="Q169" i="3"/>
  <c r="Q170" i="3"/>
  <c r="Q171" i="3"/>
  <c r="Q172" i="3"/>
  <c r="Q173" i="3"/>
  <c r="Q174" i="3"/>
  <c r="Q175" i="3"/>
  <c r="Q176" i="3"/>
  <c r="Q177" i="3"/>
  <c r="Q178" i="3"/>
  <c r="Q180" i="3"/>
  <c r="Q181" i="3"/>
  <c r="Q182" i="3"/>
  <c r="Q183" i="3"/>
  <c r="Q184" i="3"/>
  <c r="Q185" i="3"/>
  <c r="Q186" i="3"/>
  <c r="Q187" i="3"/>
  <c r="Q188" i="3"/>
  <c r="Q189" i="3"/>
  <c r="Q190" i="3"/>
  <c r="Q14" i="3"/>
  <c r="Q11" i="3"/>
  <c r="O14" i="3"/>
  <c r="O11" i="3"/>
  <c r="O56" i="2"/>
  <c r="O375" i="2"/>
  <c r="O376" i="2"/>
  <c r="O377" i="2"/>
  <c r="O378" i="2"/>
  <c r="O379" i="2"/>
  <c r="O380" i="2"/>
  <c r="O381" i="2"/>
  <c r="O382" i="2"/>
  <c r="O383" i="2"/>
  <c r="O411" i="2"/>
  <c r="O414" i="2"/>
  <c r="O416" i="2"/>
  <c r="O419" i="2"/>
  <c r="Q53" i="2"/>
  <c r="Q56" i="2"/>
  <c r="Q60" i="2"/>
  <c r="Q62" i="2"/>
  <c r="Q63" i="2"/>
  <c r="Q67" i="2"/>
  <c r="Q71" i="2"/>
  <c r="Q76" i="2"/>
  <c r="Q78" i="2"/>
  <c r="Q79" i="2"/>
  <c r="Q83" i="2"/>
  <c r="Q86" i="2"/>
  <c r="Q90" i="2"/>
  <c r="Q92" i="2"/>
  <c r="Q93" i="2"/>
  <c r="Q97" i="2"/>
  <c r="Q101" i="2"/>
  <c r="Q106" i="2"/>
  <c r="Q108" i="2"/>
  <c r="Q109" i="2"/>
  <c r="Q113" i="2"/>
  <c r="Q117" i="2"/>
  <c r="Q122" i="2"/>
  <c r="Q124" i="2"/>
  <c r="Q125" i="2"/>
  <c r="Q129" i="2"/>
  <c r="Q132" i="2"/>
  <c r="Q136" i="2"/>
  <c r="Q138" i="2"/>
  <c r="Q139" i="2"/>
  <c r="Q143" i="2"/>
  <c r="Q144" i="2"/>
  <c r="Q146" i="2"/>
  <c r="Q149" i="2"/>
  <c r="Q151" i="2"/>
  <c r="Q155" i="2"/>
  <c r="Q160" i="2"/>
  <c r="Q164" i="2"/>
  <c r="Q194" i="2"/>
  <c r="Q206" i="2"/>
  <c r="Q214" i="2"/>
  <c r="Q218" i="2"/>
  <c r="Q220" i="2"/>
  <c r="Q223" i="2"/>
  <c r="Q227" i="2"/>
  <c r="Q239" i="2"/>
  <c r="Q241" i="2"/>
  <c r="Q244" i="2"/>
  <c r="Q248" i="2"/>
  <c r="Q254" i="2"/>
  <c r="Q256" i="2"/>
  <c r="Q260" i="2"/>
  <c r="Q262" i="2"/>
  <c r="Q265" i="2"/>
  <c r="Q269" i="2"/>
  <c r="Q271" i="2"/>
  <c r="Q274" i="2"/>
  <c r="Q283" i="2"/>
  <c r="Q287" i="2"/>
  <c r="Q296" i="2"/>
  <c r="Q301" i="2"/>
  <c r="Q305" i="2"/>
  <c r="Q314" i="2"/>
  <c r="Q323" i="2"/>
  <c r="Q337" i="2"/>
  <c r="Q346" i="2"/>
  <c r="Q362" i="2"/>
  <c r="Q365" i="2"/>
  <c r="Q375" i="2"/>
  <c r="Q376" i="2"/>
  <c r="Q377" i="2"/>
  <c r="Q378" i="2"/>
  <c r="Q379" i="2"/>
  <c r="Q380" i="2"/>
  <c r="Q381" i="2"/>
  <c r="Q382" i="2"/>
  <c r="Q383" i="2"/>
  <c r="Q392" i="2"/>
  <c r="Q396" i="2"/>
  <c r="Q401" i="2"/>
  <c r="Q405" i="2"/>
  <c r="Q410" i="2"/>
  <c r="Q411" i="2"/>
  <c r="Q412" i="2"/>
  <c r="Q413" i="2"/>
  <c r="Q414" i="2"/>
  <c r="Q415" i="2"/>
  <c r="Q416" i="2"/>
  <c r="Q417" i="2"/>
  <c r="Q418" i="2"/>
  <c r="Q419" i="2"/>
  <c r="Q439" i="2"/>
  <c r="Q441" i="2"/>
  <c r="Q445" i="2"/>
  <c r="Q447" i="2"/>
  <c r="Q465" i="2"/>
  <c r="Q484" i="2"/>
  <c r="Q485" i="2"/>
  <c r="Q486" i="2"/>
  <c r="Q489" i="2"/>
  <c r="Q506" i="2"/>
  <c r="Q510" i="2"/>
  <c r="Q514" i="2"/>
  <c r="Q526" i="2"/>
  <c r="Q530" i="2"/>
  <c r="Q538" i="2"/>
  <c r="Q542" i="2"/>
  <c r="Q546" i="2"/>
  <c r="Q554" i="2"/>
  <c r="J69" i="7" l="1"/>
  <c r="N69" i="7"/>
  <c r="K39" i="7"/>
  <c r="P80" i="7"/>
  <c r="P86" i="7"/>
  <c r="M80" i="7"/>
  <c r="N80" i="7"/>
  <c r="K85" i="7"/>
  <c r="H85" i="7"/>
  <c r="N85" i="7"/>
  <c r="I87" i="6" l="1"/>
  <c r="N87" i="6" l="1"/>
  <c r="N85" i="6"/>
  <c r="N166" i="3" l="1"/>
  <c r="N554" i="2"/>
  <c r="K77" i="8" l="1"/>
  <c r="K87" i="8" l="1"/>
  <c r="K84" i="8"/>
  <c r="K80" i="8"/>
  <c r="K100" i="8"/>
  <c r="K93" i="8"/>
  <c r="N223" i="2" l="1"/>
  <c r="K53" i="9" l="1"/>
  <c r="K345" i="2" l="1"/>
  <c r="K344" i="2" s="1"/>
  <c r="K342" i="2"/>
  <c r="K340" i="2"/>
  <c r="K339" i="2" s="1"/>
  <c r="K336" i="2"/>
  <c r="K335" i="2" s="1"/>
  <c r="K333" i="2"/>
  <c r="K331" i="2"/>
  <c r="K300" i="2"/>
  <c r="K299" i="2" s="1"/>
  <c r="K297" i="2"/>
  <c r="K295" i="2"/>
  <c r="K286" i="2"/>
  <c r="K282" i="2"/>
  <c r="K281" i="2" s="1"/>
  <c r="K279" i="2"/>
  <c r="K277" i="2"/>
  <c r="K276" i="2" s="1"/>
  <c r="K273" i="2"/>
  <c r="K272" i="2"/>
  <c r="K270" i="2"/>
  <c r="K268" i="2"/>
  <c r="K267" i="2" s="1"/>
  <c r="K264" i="2"/>
  <c r="K263" i="2" s="1"/>
  <c r="K261" i="2"/>
  <c r="K259" i="2"/>
  <c r="K255" i="2"/>
  <c r="K253" i="2"/>
  <c r="K252" i="2"/>
  <c r="K250" i="2"/>
  <c r="K247" i="2"/>
  <c r="K246" i="2" s="1"/>
  <c r="K243" i="2"/>
  <c r="K242" i="2" s="1"/>
  <c r="K240" i="2"/>
  <c r="K238" i="2"/>
  <c r="K237" i="2"/>
  <c r="K222" i="2"/>
  <c r="K221" i="2" s="1"/>
  <c r="K219" i="2"/>
  <c r="K217" i="2"/>
  <c r="K216" i="2"/>
  <c r="K213" i="2"/>
  <c r="K211" i="2"/>
  <c r="K210" i="2" s="1"/>
  <c r="K208" i="2"/>
  <c r="K205" i="2"/>
  <c r="K201" i="2"/>
  <c r="K199" i="2"/>
  <c r="K198" i="2" s="1"/>
  <c r="K196" i="2"/>
  <c r="K193" i="2"/>
  <c r="K192" i="2" s="1"/>
  <c r="K189" i="2"/>
  <c r="K188" i="2" s="1"/>
  <c r="K186" i="2"/>
  <c r="K184" i="2"/>
  <c r="K183" i="2"/>
  <c r="K180" i="2"/>
  <c r="K179" i="2"/>
  <c r="K177" i="2"/>
  <c r="K175" i="2"/>
  <c r="K174" i="2" s="1"/>
  <c r="K159" i="2"/>
  <c r="K158" i="2" s="1"/>
  <c r="K156" i="2"/>
  <c r="K154" i="2"/>
  <c r="K153" i="2"/>
  <c r="K150" i="2"/>
  <c r="K147" i="2" s="1"/>
  <c r="K145" i="2"/>
  <c r="K142" i="2"/>
  <c r="K137" i="2"/>
  <c r="K135" i="2"/>
  <c r="K134" i="2"/>
  <c r="K131" i="2"/>
  <c r="K130" i="2"/>
  <c r="K128" i="2" s="1"/>
  <c r="K123" i="2"/>
  <c r="K120" i="2"/>
  <c r="K116" i="2"/>
  <c r="K115" i="2"/>
  <c r="K112" i="2" s="1"/>
  <c r="K107" i="2"/>
  <c r="K105" i="2"/>
  <c r="K104" i="2" s="1"/>
  <c r="K100" i="2"/>
  <c r="K99" i="2"/>
  <c r="K97" i="2"/>
  <c r="K91" i="2"/>
  <c r="K89" i="2"/>
  <c r="K85" i="2"/>
  <c r="K84" i="2"/>
  <c r="K82" i="2" s="1"/>
  <c r="K77" i="2"/>
  <c r="K74" i="2"/>
  <c r="K72" i="2"/>
  <c r="K70" i="2" s="1"/>
  <c r="K69" i="2"/>
  <c r="K66" i="2" s="1"/>
  <c r="K61" i="2"/>
  <c r="K59" i="2"/>
  <c r="K55" i="2"/>
  <c r="K52" i="2"/>
  <c r="K388" i="2"/>
  <c r="N506" i="2"/>
  <c r="K127" i="2" l="1"/>
  <c r="K119" i="2"/>
  <c r="K111" i="2"/>
  <c r="K65" i="2"/>
  <c r="K58" i="2"/>
  <c r="K73" i="2"/>
  <c r="K81" i="2"/>
  <c r="K88" i="2"/>
  <c r="K330" i="2"/>
  <c r="K51" i="2"/>
  <c r="K96" i="2"/>
  <c r="K95" i="2" s="1"/>
  <c r="K141" i="2"/>
  <c r="K204" i="2"/>
  <c r="K258" i="2"/>
  <c r="K294" i="2"/>
  <c r="K103" i="2"/>
  <c r="K52" i="9"/>
  <c r="K51" i="9" s="1"/>
  <c r="K49" i="9"/>
  <c r="K48" i="9" s="1"/>
  <c r="K45" i="9"/>
  <c r="K44" i="9" s="1"/>
  <c r="K42" i="9"/>
  <c r="K41" i="9" s="1"/>
  <c r="K38" i="9"/>
  <c r="K37" i="9" s="1"/>
  <c r="K35" i="9"/>
  <c r="K33" i="9"/>
  <c r="K32" i="9" s="1"/>
  <c r="N25" i="9"/>
  <c r="K29" i="9"/>
  <c r="K28" i="9" s="1"/>
  <c r="K27" i="9"/>
  <c r="K26" i="9" s="1"/>
  <c r="K24" i="9"/>
  <c r="K114" i="8"/>
  <c r="K112" i="8"/>
  <c r="K111" i="8" s="1"/>
  <c r="K109" i="8"/>
  <c r="K107" i="8"/>
  <c r="K106" i="8" s="1"/>
  <c r="P130" i="8"/>
  <c r="K138" i="8"/>
  <c r="K135" i="8"/>
  <c r="K134" i="8"/>
  <c r="K131" i="8"/>
  <c r="K129" i="8"/>
  <c r="K128" i="8" s="1"/>
  <c r="T239" i="8"/>
  <c r="T246" i="8"/>
  <c r="K23" i="9" l="1"/>
  <c r="K199" i="8"/>
  <c r="K196" i="8"/>
  <c r="K192" i="8"/>
  <c r="K191" i="8"/>
  <c r="K189" i="8"/>
  <c r="K188" i="8" s="1"/>
  <c r="K125" i="8"/>
  <c r="K123" i="8"/>
  <c r="K122" i="8" s="1"/>
  <c r="K120" i="8"/>
  <c r="K118" i="8"/>
  <c r="K117" i="8" s="1"/>
  <c r="K58" i="8"/>
  <c r="K55" i="8"/>
  <c r="K52" i="8"/>
  <c r="K49" i="8"/>
  <c r="K44" i="8"/>
  <c r="K41" i="8"/>
  <c r="K38" i="8"/>
  <c r="K35" i="8"/>
  <c r="K34" i="8" l="1"/>
  <c r="K40" i="8"/>
  <c r="K48" i="8"/>
  <c r="K54" i="8"/>
  <c r="K195" i="8"/>
  <c r="N222" i="8"/>
  <c r="I225" i="8"/>
  <c r="K20" i="8"/>
  <c r="T202" i="8"/>
  <c r="T217" i="8"/>
  <c r="T89" i="8"/>
  <c r="J74" i="2"/>
  <c r="N75" i="2"/>
  <c r="N254" i="8"/>
  <c r="T254" i="8" s="1"/>
  <c r="N253" i="8"/>
  <c r="T253" i="8" s="1"/>
  <c r="N250" i="8"/>
  <c r="T250" i="8" s="1"/>
  <c r="N249" i="8"/>
  <c r="T249" i="8" s="1"/>
  <c r="N126" i="8"/>
  <c r="N124" i="8"/>
  <c r="N119" i="8"/>
  <c r="N121" i="8"/>
  <c r="N115" i="8"/>
  <c r="N113" i="8"/>
  <c r="O113" i="8" s="1"/>
  <c r="N110" i="8"/>
  <c r="N108" i="8"/>
  <c r="E140" i="8"/>
  <c r="D139" i="8"/>
  <c r="H138" i="8"/>
  <c r="G138" i="8"/>
  <c r="F138" i="8"/>
  <c r="E201" i="8"/>
  <c r="D201" i="8" s="1"/>
  <c r="H200" i="8"/>
  <c r="E200" i="8"/>
  <c r="D200" i="8" s="1"/>
  <c r="D199" i="8" s="1"/>
  <c r="H199" i="8"/>
  <c r="G199" i="8"/>
  <c r="F199" i="8"/>
  <c r="E199" i="8"/>
  <c r="E198" i="8"/>
  <c r="D198" i="8"/>
  <c r="H197" i="8"/>
  <c r="E197" i="8"/>
  <c r="D197" i="8" s="1"/>
  <c r="D196" i="8" s="1"/>
  <c r="D195" i="8" s="1"/>
  <c r="H196" i="8"/>
  <c r="G196" i="8"/>
  <c r="F196" i="8"/>
  <c r="E196" i="8"/>
  <c r="H195" i="8"/>
  <c r="G195" i="8"/>
  <c r="F195" i="8"/>
  <c r="E195" i="8"/>
  <c r="H194" i="8"/>
  <c r="E194" i="8"/>
  <c r="D193" i="8"/>
  <c r="H192" i="8"/>
  <c r="G192" i="8"/>
  <c r="F192" i="8"/>
  <c r="F188" i="8" s="1"/>
  <c r="H191" i="8"/>
  <c r="E191" i="8"/>
  <c r="D191" i="8" s="1"/>
  <c r="H190" i="8"/>
  <c r="E190" i="8"/>
  <c r="G189" i="8"/>
  <c r="F189" i="8"/>
  <c r="G188" i="8"/>
  <c r="D137" i="8"/>
  <c r="H136" i="8"/>
  <c r="E136" i="8"/>
  <c r="H135" i="8"/>
  <c r="G135" i="8"/>
  <c r="F135" i="8"/>
  <c r="G134" i="8"/>
  <c r="E133" i="8"/>
  <c r="D133" i="8" s="1"/>
  <c r="D131" i="8" s="1"/>
  <c r="D132" i="8"/>
  <c r="H131" i="8"/>
  <c r="G131" i="8"/>
  <c r="F131" i="8"/>
  <c r="H130" i="8"/>
  <c r="H129" i="8" s="1"/>
  <c r="E130" i="8"/>
  <c r="D130" i="8" s="1"/>
  <c r="D129" i="8" s="1"/>
  <c r="D128" i="8" s="1"/>
  <c r="G129" i="8"/>
  <c r="G128" i="8" s="1"/>
  <c r="F129" i="8"/>
  <c r="D101" i="6"/>
  <c r="D100" i="6" s="1"/>
  <c r="H100" i="6"/>
  <c r="G100" i="6"/>
  <c r="G99" i="6" s="1"/>
  <c r="F100" i="6"/>
  <c r="E100" i="6"/>
  <c r="E99" i="6" s="1"/>
  <c r="H99" i="6"/>
  <c r="F99" i="6"/>
  <c r="D99" i="6"/>
  <c r="D98" i="6"/>
  <c r="D97" i="6" s="1"/>
  <c r="H97" i="6"/>
  <c r="G97" i="6"/>
  <c r="F97" i="6"/>
  <c r="E97" i="6"/>
  <c r="D96" i="6"/>
  <c r="D95" i="6" s="1"/>
  <c r="H95" i="6"/>
  <c r="G95" i="6"/>
  <c r="F95" i="6"/>
  <c r="E95" i="6"/>
  <c r="H94" i="6"/>
  <c r="G94" i="6"/>
  <c r="F94" i="6"/>
  <c r="E94" i="6"/>
  <c r="D92" i="6"/>
  <c r="D91" i="6" s="1"/>
  <c r="H91" i="6"/>
  <c r="G91" i="6"/>
  <c r="F91" i="6"/>
  <c r="E91" i="6"/>
  <c r="D90" i="6"/>
  <c r="D89" i="6" s="1"/>
  <c r="H89" i="6"/>
  <c r="G89" i="6"/>
  <c r="F89" i="6"/>
  <c r="F88" i="6" s="1"/>
  <c r="E89" i="6"/>
  <c r="H88" i="6"/>
  <c r="D88" i="6"/>
  <c r="D87" i="6"/>
  <c r="O87" i="6" s="1"/>
  <c r="H86" i="6"/>
  <c r="G86" i="6"/>
  <c r="F86" i="6"/>
  <c r="E86" i="6"/>
  <c r="D85" i="6"/>
  <c r="H84" i="6"/>
  <c r="G84" i="6"/>
  <c r="G83" i="6" s="1"/>
  <c r="F84" i="6"/>
  <c r="E84" i="6"/>
  <c r="E83" i="6" s="1"/>
  <c r="H83" i="6"/>
  <c r="H81" i="6"/>
  <c r="E81" i="6"/>
  <c r="H80" i="6"/>
  <c r="H79" i="6" s="1"/>
  <c r="G80" i="6"/>
  <c r="F80" i="6"/>
  <c r="F79" i="6" s="1"/>
  <c r="G79" i="6"/>
  <c r="H78" i="6"/>
  <c r="E78" i="6"/>
  <c r="H77" i="6"/>
  <c r="G77" i="6"/>
  <c r="F77" i="6"/>
  <c r="E77" i="6"/>
  <c r="H76" i="6"/>
  <c r="G76" i="6"/>
  <c r="F76" i="6"/>
  <c r="E76" i="6"/>
  <c r="H74" i="6"/>
  <c r="H73" i="6" s="1"/>
  <c r="H72" i="6" s="1"/>
  <c r="E74" i="6"/>
  <c r="D74" i="6"/>
  <c r="D73" i="6" s="1"/>
  <c r="D72" i="6" s="1"/>
  <c r="G73" i="6"/>
  <c r="G72" i="6" s="1"/>
  <c r="F73" i="6"/>
  <c r="E73" i="6"/>
  <c r="E72" i="6" s="1"/>
  <c r="F72" i="6"/>
  <c r="H71" i="6"/>
  <c r="E71" i="6"/>
  <c r="D71" i="6" s="1"/>
  <c r="D70" i="6" s="1"/>
  <c r="D69" i="6" s="1"/>
  <c r="H70" i="6"/>
  <c r="H69" i="6" s="1"/>
  <c r="G70" i="6"/>
  <c r="F70" i="6"/>
  <c r="F69" i="6" s="1"/>
  <c r="G69" i="6"/>
  <c r="D67" i="6"/>
  <c r="D66" i="6" s="1"/>
  <c r="H66" i="6"/>
  <c r="G66" i="6"/>
  <c r="F66" i="6"/>
  <c r="F63" i="6" s="1"/>
  <c r="E66" i="6"/>
  <c r="D65" i="6"/>
  <c r="D64" i="6" s="1"/>
  <c r="D63" i="6" s="1"/>
  <c r="H64" i="6"/>
  <c r="G64" i="6"/>
  <c r="G63" i="6" s="1"/>
  <c r="F64" i="6"/>
  <c r="E64" i="6"/>
  <c r="E63" i="6" s="1"/>
  <c r="D62" i="6"/>
  <c r="D61" i="6" s="1"/>
  <c r="H61" i="6"/>
  <c r="G61" i="6"/>
  <c r="F61" i="6"/>
  <c r="E61" i="6"/>
  <c r="D60" i="6"/>
  <c r="D59" i="6" s="1"/>
  <c r="H59" i="6"/>
  <c r="G59" i="6"/>
  <c r="G58" i="6" s="1"/>
  <c r="F59" i="6"/>
  <c r="E59" i="6"/>
  <c r="E56" i="6"/>
  <c r="D56" i="6" s="1"/>
  <c r="D55" i="6" s="1"/>
  <c r="H55" i="6"/>
  <c r="G55" i="6"/>
  <c r="F55" i="6"/>
  <c r="E54" i="6"/>
  <c r="H53" i="6"/>
  <c r="G53" i="6"/>
  <c r="F53" i="6"/>
  <c r="F52" i="6" s="1"/>
  <c r="E51" i="6"/>
  <c r="D51" i="6"/>
  <c r="D50" i="6" s="1"/>
  <c r="H50" i="6"/>
  <c r="G50" i="6"/>
  <c r="F50" i="6"/>
  <c r="E50" i="6"/>
  <c r="E49" i="6"/>
  <c r="D49" i="6" s="1"/>
  <c r="D48" i="6" s="1"/>
  <c r="H48" i="6"/>
  <c r="H47" i="6" s="1"/>
  <c r="G48" i="6"/>
  <c r="F48" i="6"/>
  <c r="F47" i="6" s="1"/>
  <c r="D45" i="6"/>
  <c r="D44" i="6" s="1"/>
  <c r="H44" i="6"/>
  <c r="G44" i="6"/>
  <c r="F44" i="6"/>
  <c r="E44" i="6"/>
  <c r="D43" i="6"/>
  <c r="D42" i="6" s="1"/>
  <c r="H42" i="6"/>
  <c r="G42" i="6"/>
  <c r="F42" i="6"/>
  <c r="E42" i="6"/>
  <c r="D40" i="6"/>
  <c r="D39" i="6" s="1"/>
  <c r="H39" i="6"/>
  <c r="G39" i="6"/>
  <c r="F39" i="6"/>
  <c r="E39" i="6"/>
  <c r="D38" i="6"/>
  <c r="D37" i="6" s="1"/>
  <c r="H37" i="6"/>
  <c r="H36" i="6" s="1"/>
  <c r="G37" i="6"/>
  <c r="F37" i="6"/>
  <c r="F36" i="6" s="1"/>
  <c r="E37" i="6"/>
  <c r="G36" i="6"/>
  <c r="H34" i="6"/>
  <c r="H33" i="6" s="1"/>
  <c r="G34" i="6"/>
  <c r="Q34" i="6" s="1"/>
  <c r="E34" i="6"/>
  <c r="G33" i="6"/>
  <c r="F33" i="6"/>
  <c r="H32" i="6"/>
  <c r="E32" i="6"/>
  <c r="H31" i="6"/>
  <c r="G31" i="6"/>
  <c r="F31" i="6"/>
  <c r="F30" i="6" s="1"/>
  <c r="H29" i="6"/>
  <c r="H28" i="6" s="1"/>
  <c r="G29" i="6"/>
  <c r="Q29" i="6" s="1"/>
  <c r="E29" i="6"/>
  <c r="G28" i="6"/>
  <c r="F28" i="6"/>
  <c r="H27" i="6"/>
  <c r="E27" i="6"/>
  <c r="H26" i="6"/>
  <c r="G26" i="6"/>
  <c r="F26" i="6"/>
  <c r="F25" i="6" s="1"/>
  <c r="D190" i="3"/>
  <c r="D189" i="3" s="1"/>
  <c r="H189" i="3"/>
  <c r="G189" i="3"/>
  <c r="F189" i="3"/>
  <c r="E189" i="3"/>
  <c r="D188" i="3"/>
  <c r="D187" i="3" s="1"/>
  <c r="D186" i="3" s="1"/>
  <c r="H187" i="3"/>
  <c r="G187" i="3"/>
  <c r="G186" i="3" s="1"/>
  <c r="F187" i="3"/>
  <c r="E187" i="3"/>
  <c r="E186" i="3" s="1"/>
  <c r="D185" i="3"/>
  <c r="D184" i="3" s="1"/>
  <c r="H184" i="3"/>
  <c r="G184" i="3"/>
  <c r="F184" i="3"/>
  <c r="E184" i="3"/>
  <c r="D183" i="3"/>
  <c r="D182" i="3"/>
  <c r="D181" i="3" s="1"/>
  <c r="H181" i="3"/>
  <c r="G181" i="3"/>
  <c r="G180" i="3" s="1"/>
  <c r="F181" i="3"/>
  <c r="E181" i="3"/>
  <c r="E180" i="3" s="1"/>
  <c r="F180" i="3"/>
  <c r="D178" i="3"/>
  <c r="D177" i="3" s="1"/>
  <c r="H177" i="3"/>
  <c r="G177" i="3"/>
  <c r="F177" i="3"/>
  <c r="E177" i="3"/>
  <c r="D176" i="3"/>
  <c r="H175" i="3"/>
  <c r="H174" i="3" s="1"/>
  <c r="G175" i="3"/>
  <c r="F175" i="3"/>
  <c r="F174" i="3" s="1"/>
  <c r="E175" i="3"/>
  <c r="D175" i="3"/>
  <c r="G174" i="3"/>
  <c r="E174" i="3"/>
  <c r="D173" i="3"/>
  <c r="D172" i="3" s="1"/>
  <c r="H172" i="3"/>
  <c r="G172" i="3"/>
  <c r="F172" i="3"/>
  <c r="E172" i="3"/>
  <c r="D171" i="3"/>
  <c r="D170" i="3"/>
  <c r="H169" i="3"/>
  <c r="H168" i="3" s="1"/>
  <c r="G169" i="3"/>
  <c r="F169" i="3"/>
  <c r="F168" i="3" s="1"/>
  <c r="E169" i="3"/>
  <c r="D169" i="3"/>
  <c r="G168" i="3"/>
  <c r="H166" i="3"/>
  <c r="H165" i="3" s="1"/>
  <c r="E166" i="3"/>
  <c r="D166" i="3"/>
  <c r="D165" i="3" s="1"/>
  <c r="G165" i="3"/>
  <c r="F165" i="3"/>
  <c r="E165" i="3"/>
  <c r="H164" i="3"/>
  <c r="H163" i="3" s="1"/>
  <c r="H162" i="3" s="1"/>
  <c r="E164" i="3"/>
  <c r="D164" i="3"/>
  <c r="D163" i="3" s="1"/>
  <c r="D162" i="3" s="1"/>
  <c r="G163" i="3"/>
  <c r="G162" i="3" s="1"/>
  <c r="F163" i="3"/>
  <c r="E163" i="3"/>
  <c r="E162" i="3" s="1"/>
  <c r="F162" i="3"/>
  <c r="H161" i="3"/>
  <c r="E161" i="3"/>
  <c r="D161" i="3" s="1"/>
  <c r="D160" i="3" s="1"/>
  <c r="H160" i="3"/>
  <c r="G160" i="3"/>
  <c r="F160" i="3"/>
  <c r="E160" i="3"/>
  <c r="H159" i="3"/>
  <c r="E159" i="3"/>
  <c r="D158" i="3"/>
  <c r="H157" i="3"/>
  <c r="H156" i="3" s="1"/>
  <c r="G157" i="3"/>
  <c r="F157" i="3"/>
  <c r="F156" i="3" s="1"/>
  <c r="E154" i="3"/>
  <c r="D154" i="3" s="1"/>
  <c r="D153" i="3" s="1"/>
  <c r="H153" i="3"/>
  <c r="G153" i="3"/>
  <c r="F153" i="3"/>
  <c r="E153" i="3"/>
  <c r="D152" i="3"/>
  <c r="H151" i="3"/>
  <c r="H150" i="3" s="1"/>
  <c r="G151" i="3"/>
  <c r="F151" i="3"/>
  <c r="F150" i="3" s="1"/>
  <c r="E151" i="3"/>
  <c r="D151" i="3"/>
  <c r="G150" i="3"/>
  <c r="E150" i="3"/>
  <c r="E149" i="3"/>
  <c r="D149" i="3"/>
  <c r="D148" i="3" s="1"/>
  <c r="H148" i="3"/>
  <c r="G148" i="3"/>
  <c r="F148" i="3"/>
  <c r="E148" i="3"/>
  <c r="D147" i="3"/>
  <c r="E146" i="3"/>
  <c r="D146" i="3" s="1"/>
  <c r="D145" i="3" s="1"/>
  <c r="D144" i="3" s="1"/>
  <c r="H145" i="3"/>
  <c r="G145" i="3"/>
  <c r="G144" i="3" s="1"/>
  <c r="F145" i="3"/>
  <c r="E145" i="3"/>
  <c r="E144" i="3" s="1"/>
  <c r="H144" i="3"/>
  <c r="F144" i="3"/>
  <c r="H142" i="3"/>
  <c r="E142" i="3"/>
  <c r="H141" i="3"/>
  <c r="G141" i="3"/>
  <c r="F141" i="3"/>
  <c r="E140" i="3"/>
  <c r="D140" i="3" s="1"/>
  <c r="D139" i="3" s="1"/>
  <c r="H139" i="3"/>
  <c r="G139" i="3"/>
  <c r="F139" i="3"/>
  <c r="G138" i="3"/>
  <c r="H137" i="3"/>
  <c r="H136" i="3" s="1"/>
  <c r="E137" i="3"/>
  <c r="D137" i="3"/>
  <c r="D136" i="3" s="1"/>
  <c r="G136" i="3"/>
  <c r="F136" i="3"/>
  <c r="F132" i="3" s="1"/>
  <c r="E136" i="3"/>
  <c r="E135" i="3"/>
  <c r="D135" i="3" s="1"/>
  <c r="H134" i="3"/>
  <c r="E134" i="3"/>
  <c r="D134" i="3" s="1"/>
  <c r="H133" i="3"/>
  <c r="G133" i="3"/>
  <c r="G132" i="3" s="1"/>
  <c r="F133" i="3"/>
  <c r="E133" i="3"/>
  <c r="E132" i="3" s="1"/>
  <c r="E130" i="3"/>
  <c r="D130" i="3" s="1"/>
  <c r="D129" i="3" s="1"/>
  <c r="H129" i="3"/>
  <c r="G129" i="3"/>
  <c r="F129" i="3"/>
  <c r="E129" i="3"/>
  <c r="E128" i="3"/>
  <c r="D128" i="3" s="1"/>
  <c r="D127" i="3" s="1"/>
  <c r="H127" i="3"/>
  <c r="G127" i="3"/>
  <c r="F127" i="3"/>
  <c r="E127" i="3"/>
  <c r="H126" i="3"/>
  <c r="E125" i="3"/>
  <c r="H124" i="3"/>
  <c r="G124" i="3"/>
  <c r="F124" i="3"/>
  <c r="E123" i="3"/>
  <c r="D122" i="3"/>
  <c r="H121" i="3"/>
  <c r="H120" i="3" s="1"/>
  <c r="G121" i="3"/>
  <c r="G120" i="3" s="1"/>
  <c r="F121" i="3"/>
  <c r="F120" i="3" s="1"/>
  <c r="E118" i="3"/>
  <c r="H117" i="3"/>
  <c r="G117" i="3"/>
  <c r="F117" i="3"/>
  <c r="E116" i="3"/>
  <c r="D116" i="3" s="1"/>
  <c r="D115" i="3" s="1"/>
  <c r="H115" i="3"/>
  <c r="G115" i="3"/>
  <c r="F115" i="3"/>
  <c r="G114" i="3"/>
  <c r="E113" i="3"/>
  <c r="D113" i="3" s="1"/>
  <c r="D112" i="3" s="1"/>
  <c r="H112" i="3"/>
  <c r="G112" i="3"/>
  <c r="F112" i="3"/>
  <c r="E111" i="3"/>
  <c r="D111" i="3" s="1"/>
  <c r="E110" i="3"/>
  <c r="H109" i="3"/>
  <c r="G109" i="3"/>
  <c r="G108" i="3" s="1"/>
  <c r="F109" i="3"/>
  <c r="H108" i="3"/>
  <c r="E106" i="3"/>
  <c r="H105" i="3"/>
  <c r="G105" i="3"/>
  <c r="F105" i="3"/>
  <c r="E104" i="3"/>
  <c r="D104" i="3" s="1"/>
  <c r="D103" i="3" s="1"/>
  <c r="H103" i="3"/>
  <c r="G103" i="3"/>
  <c r="F103" i="3"/>
  <c r="G102" i="3"/>
  <c r="E101" i="3"/>
  <c r="D101" i="3" s="1"/>
  <c r="D100" i="3" s="1"/>
  <c r="H100" i="3"/>
  <c r="G100" i="3"/>
  <c r="F100" i="3"/>
  <c r="E99" i="3"/>
  <c r="D99" i="3" s="1"/>
  <c r="E98" i="3"/>
  <c r="D98" i="3" s="1"/>
  <c r="H97" i="3"/>
  <c r="G97" i="3"/>
  <c r="G96" i="3" s="1"/>
  <c r="F97" i="3"/>
  <c r="F96" i="3" s="1"/>
  <c r="E97" i="3"/>
  <c r="H96" i="3"/>
  <c r="E94" i="3"/>
  <c r="D94" i="3" s="1"/>
  <c r="D93" i="3" s="1"/>
  <c r="H93" i="3"/>
  <c r="G93" i="3"/>
  <c r="F93" i="3"/>
  <c r="E92" i="3"/>
  <c r="D92" i="3" s="1"/>
  <c r="D91" i="3" s="1"/>
  <c r="H91" i="3"/>
  <c r="G91" i="3"/>
  <c r="F91" i="3"/>
  <c r="G90" i="3"/>
  <c r="E89" i="3"/>
  <c r="D89" i="3" s="1"/>
  <c r="D88" i="3" s="1"/>
  <c r="H88" i="3"/>
  <c r="G88" i="3"/>
  <c r="F88" i="3"/>
  <c r="E87" i="3"/>
  <c r="D87" i="3" s="1"/>
  <c r="D86" i="3" s="1"/>
  <c r="H86" i="3"/>
  <c r="G86" i="3"/>
  <c r="G85" i="3" s="1"/>
  <c r="F86" i="3"/>
  <c r="F85" i="3" s="1"/>
  <c r="E86" i="3"/>
  <c r="H85" i="3"/>
  <c r="E83" i="3"/>
  <c r="D83" i="3" s="1"/>
  <c r="D82" i="3" s="1"/>
  <c r="H82" i="3"/>
  <c r="G82" i="3"/>
  <c r="F82" i="3"/>
  <c r="E81" i="3"/>
  <c r="D81" i="3" s="1"/>
  <c r="D80" i="3" s="1"/>
  <c r="H80" i="3"/>
  <c r="G80" i="3"/>
  <c r="F80" i="3"/>
  <c r="G79" i="3"/>
  <c r="E78" i="3"/>
  <c r="D78" i="3" s="1"/>
  <c r="D77" i="3" s="1"/>
  <c r="H77" i="3"/>
  <c r="G77" i="3"/>
  <c r="F77" i="3"/>
  <c r="E76" i="3"/>
  <c r="D76" i="3" s="1"/>
  <c r="D75" i="3"/>
  <c r="H74" i="3"/>
  <c r="G74" i="3"/>
  <c r="G73" i="3" s="1"/>
  <c r="F74" i="3"/>
  <c r="E74" i="3"/>
  <c r="H71" i="3"/>
  <c r="D71" i="3" s="1"/>
  <c r="D70" i="3" s="1"/>
  <c r="G70" i="3"/>
  <c r="F70" i="3"/>
  <c r="E70" i="3"/>
  <c r="H69" i="3"/>
  <c r="D69" i="3" s="1"/>
  <c r="D68" i="3" s="1"/>
  <c r="D67" i="3" s="1"/>
  <c r="G68" i="3"/>
  <c r="G67" i="3" s="1"/>
  <c r="F68" i="3"/>
  <c r="E68" i="3"/>
  <c r="E67" i="3" s="1"/>
  <c r="F67" i="3"/>
  <c r="H66" i="3"/>
  <c r="D66" i="3" s="1"/>
  <c r="D65" i="3" s="1"/>
  <c r="H65" i="3"/>
  <c r="G65" i="3"/>
  <c r="F65" i="3"/>
  <c r="E65" i="3"/>
  <c r="H64" i="3"/>
  <c r="D64" i="3" s="1"/>
  <c r="D62" i="3" s="1"/>
  <c r="H62" i="3"/>
  <c r="H61" i="3" s="1"/>
  <c r="G62" i="3"/>
  <c r="F62" i="3"/>
  <c r="F61" i="3" s="1"/>
  <c r="E62" i="3"/>
  <c r="G61" i="3"/>
  <c r="E59" i="3"/>
  <c r="D59" i="3" s="1"/>
  <c r="D58" i="3" s="1"/>
  <c r="H58" i="3"/>
  <c r="G58" i="3"/>
  <c r="F58" i="3"/>
  <c r="E57" i="3"/>
  <c r="D57" i="3" s="1"/>
  <c r="D56" i="3" s="1"/>
  <c r="H56" i="3"/>
  <c r="G56" i="3"/>
  <c r="G55" i="3" s="1"/>
  <c r="F56" i="3"/>
  <c r="E56" i="3"/>
  <c r="H55" i="3"/>
  <c r="F55" i="3"/>
  <c r="E54" i="3"/>
  <c r="D54" i="3" s="1"/>
  <c r="D53" i="3" s="1"/>
  <c r="H53" i="3"/>
  <c r="G53" i="3"/>
  <c r="F53" i="3"/>
  <c r="E53" i="3"/>
  <c r="E52" i="3"/>
  <c r="D52" i="3" s="1"/>
  <c r="D51" i="3"/>
  <c r="H50" i="3"/>
  <c r="G50" i="3"/>
  <c r="G49" i="3" s="1"/>
  <c r="F50" i="3"/>
  <c r="F49" i="3" s="1"/>
  <c r="H49" i="3"/>
  <c r="D47" i="3"/>
  <c r="D46" i="3" s="1"/>
  <c r="H46" i="3"/>
  <c r="G46" i="3"/>
  <c r="F46" i="3"/>
  <c r="E46" i="3"/>
  <c r="D45" i="3"/>
  <c r="G44" i="3"/>
  <c r="F44" i="3"/>
  <c r="E44" i="3"/>
  <c r="D44" i="3"/>
  <c r="D43" i="3" s="1"/>
  <c r="H43" i="3"/>
  <c r="F43" i="3"/>
  <c r="D42" i="3"/>
  <c r="D41" i="3" s="1"/>
  <c r="H41" i="3"/>
  <c r="G41" i="3"/>
  <c r="F41" i="3"/>
  <c r="E41" i="3"/>
  <c r="D40" i="3"/>
  <c r="G39" i="3"/>
  <c r="F39" i="3"/>
  <c r="E39" i="3"/>
  <c r="D39" i="3"/>
  <c r="D38" i="3" s="1"/>
  <c r="H38" i="3"/>
  <c r="F38" i="3"/>
  <c r="D36" i="3"/>
  <c r="D35" i="3" s="1"/>
  <c r="D34" i="3" s="1"/>
  <c r="H35" i="3"/>
  <c r="H34" i="3" s="1"/>
  <c r="G35" i="3"/>
  <c r="F35" i="3"/>
  <c r="F34" i="3" s="1"/>
  <c r="E35" i="3"/>
  <c r="E34" i="3" s="1"/>
  <c r="G34" i="3"/>
  <c r="D33" i="3"/>
  <c r="D32" i="3" s="1"/>
  <c r="D31" i="3" s="1"/>
  <c r="H32" i="3"/>
  <c r="G32" i="3"/>
  <c r="G31" i="3" s="1"/>
  <c r="F32" i="3"/>
  <c r="F31" i="3" s="1"/>
  <c r="E32" i="3"/>
  <c r="E31" i="3" s="1"/>
  <c r="H31" i="3"/>
  <c r="O70" i="1"/>
  <c r="O61" i="1"/>
  <c r="F58" i="6" l="1"/>
  <c r="H58" i="6"/>
  <c r="D86" i="6"/>
  <c r="D84" i="6"/>
  <c r="O85" i="6"/>
  <c r="E88" i="6"/>
  <c r="E61" i="3"/>
  <c r="H68" i="3"/>
  <c r="F126" i="3"/>
  <c r="E126" i="3"/>
  <c r="G126" i="3"/>
  <c r="E168" i="3"/>
  <c r="D180" i="3"/>
  <c r="H180" i="3"/>
  <c r="H41" i="6"/>
  <c r="G47" i="6"/>
  <c r="G88" i="6"/>
  <c r="E129" i="8"/>
  <c r="D190" i="8"/>
  <c r="D189" i="8" s="1"/>
  <c r="H189" i="8"/>
  <c r="H188" i="8" s="1"/>
  <c r="H132" i="3"/>
  <c r="F138" i="3"/>
  <c r="G156" i="3"/>
  <c r="D174" i="3"/>
  <c r="F186" i="3"/>
  <c r="H186" i="3"/>
  <c r="G25" i="6"/>
  <c r="G30" i="6"/>
  <c r="H63" i="6"/>
  <c r="F128" i="8"/>
  <c r="D79" i="3"/>
  <c r="D110" i="3"/>
  <c r="D109" i="3" s="1"/>
  <c r="D108" i="3" s="1"/>
  <c r="E109" i="3"/>
  <c r="D118" i="3"/>
  <c r="D117" i="3" s="1"/>
  <c r="D114" i="3" s="1"/>
  <c r="E117" i="3"/>
  <c r="D123" i="3"/>
  <c r="E121" i="3"/>
  <c r="D125" i="3"/>
  <c r="D124" i="3" s="1"/>
  <c r="E124" i="3"/>
  <c r="D159" i="3"/>
  <c r="D157" i="3" s="1"/>
  <c r="D156" i="3" s="1"/>
  <c r="E157" i="3"/>
  <c r="E156" i="3" s="1"/>
  <c r="F83" i="6"/>
  <c r="D140" i="8"/>
  <c r="D138" i="8" s="1"/>
  <c r="E138" i="8"/>
  <c r="E38" i="3"/>
  <c r="G38" i="3"/>
  <c r="E43" i="3"/>
  <c r="G43" i="3"/>
  <c r="E50" i="3"/>
  <c r="E49" i="3" s="1"/>
  <c r="F73" i="3"/>
  <c r="H73" i="3"/>
  <c r="D74" i="3"/>
  <c r="D73" i="3" s="1"/>
  <c r="F79" i="3"/>
  <c r="H79" i="3"/>
  <c r="E82" i="3"/>
  <c r="F90" i="3"/>
  <c r="H90" i="3"/>
  <c r="E93" i="3"/>
  <c r="D106" i="3"/>
  <c r="D105" i="3" s="1"/>
  <c r="D102" i="3" s="1"/>
  <c r="E105" i="3"/>
  <c r="F108" i="3"/>
  <c r="D142" i="3"/>
  <c r="D141" i="3" s="1"/>
  <c r="D138" i="3" s="1"/>
  <c r="E141" i="3"/>
  <c r="D150" i="3"/>
  <c r="D168" i="3"/>
  <c r="D54" i="6"/>
  <c r="D53" i="6" s="1"/>
  <c r="D52" i="6" s="1"/>
  <c r="E53" i="6"/>
  <c r="E58" i="6"/>
  <c r="D58" i="6"/>
  <c r="F134" i="8"/>
  <c r="H134" i="8"/>
  <c r="E189" i="8"/>
  <c r="D194" i="8"/>
  <c r="D192" i="8" s="1"/>
  <c r="E192" i="8"/>
  <c r="F102" i="3"/>
  <c r="H102" i="3"/>
  <c r="F114" i="3"/>
  <c r="H114" i="3"/>
  <c r="D121" i="3"/>
  <c r="D120" i="3" s="1"/>
  <c r="H138" i="3"/>
  <c r="D29" i="6"/>
  <c r="D28" i="6" s="1"/>
  <c r="D34" i="6"/>
  <c r="D33" i="6" s="1"/>
  <c r="E36" i="6"/>
  <c r="F41" i="6"/>
  <c r="G52" i="6"/>
  <c r="H52" i="6"/>
  <c r="D81" i="6"/>
  <c r="D80" i="6" s="1"/>
  <c r="D79" i="6" s="1"/>
  <c r="D83" i="6"/>
  <c r="D94" i="6"/>
  <c r="H128" i="8"/>
  <c r="D136" i="8"/>
  <c r="D135" i="8" s="1"/>
  <c r="D36" i="6"/>
  <c r="D97" i="3"/>
  <c r="D96" i="3" s="1"/>
  <c r="D126" i="3"/>
  <c r="D133" i="3"/>
  <c r="H25" i="6"/>
  <c r="H30" i="6"/>
  <c r="H70" i="3"/>
  <c r="H67" i="3" s="1"/>
  <c r="D27" i="6"/>
  <c r="D26" i="6" s="1"/>
  <c r="D25" i="6" s="1"/>
  <c r="D32" i="6"/>
  <c r="D31" i="6" s="1"/>
  <c r="E41" i="6"/>
  <c r="G41" i="6"/>
  <c r="D78" i="6"/>
  <c r="D77" i="6" s="1"/>
  <c r="D76" i="6" s="1"/>
  <c r="E80" i="6"/>
  <c r="E79" i="6" s="1"/>
  <c r="E131" i="8"/>
  <c r="E128" i="8" s="1"/>
  <c r="D188" i="8"/>
  <c r="E135" i="8"/>
  <c r="E134" i="8" s="1"/>
  <c r="D30" i="6"/>
  <c r="D41" i="6"/>
  <c r="D47" i="6"/>
  <c r="E26" i="6"/>
  <c r="E28" i="6"/>
  <c r="E31" i="6"/>
  <c r="E33" i="6"/>
  <c r="E48" i="6"/>
  <c r="E47" i="6" s="1"/>
  <c r="E55" i="6"/>
  <c r="E70" i="6"/>
  <c r="E69" i="6" s="1"/>
  <c r="D50" i="3"/>
  <c r="D49" i="3" s="1"/>
  <c r="D55" i="3"/>
  <c r="D61" i="3"/>
  <c r="D85" i="3"/>
  <c r="D90" i="3"/>
  <c r="D132" i="3"/>
  <c r="E58" i="3"/>
  <c r="E55" i="3" s="1"/>
  <c r="E77" i="3"/>
  <c r="E73" i="3" s="1"/>
  <c r="E80" i="3"/>
  <c r="E79" i="3" s="1"/>
  <c r="E88" i="3"/>
  <c r="E85" i="3" s="1"/>
  <c r="E91" i="3"/>
  <c r="E100" i="3"/>
  <c r="E96" i="3" s="1"/>
  <c r="E103" i="3"/>
  <c r="E102" i="3" s="1"/>
  <c r="E112" i="3"/>
  <c r="E108" i="3" s="1"/>
  <c r="E115" i="3"/>
  <c r="E114" i="3" s="1"/>
  <c r="E139" i="3"/>
  <c r="E138" i="3" s="1"/>
  <c r="J56" i="6"/>
  <c r="M166" i="3"/>
  <c r="J166" i="3"/>
  <c r="J94" i="3"/>
  <c r="M71" i="3"/>
  <c r="J198" i="8"/>
  <c r="M164" i="3"/>
  <c r="J164" i="3"/>
  <c r="D134" i="8" l="1"/>
  <c r="E90" i="3"/>
  <c r="E52" i="6"/>
  <c r="E188" i="8"/>
  <c r="E120" i="3"/>
  <c r="E30" i="6"/>
  <c r="E25" i="6"/>
  <c r="O23" i="1"/>
  <c r="H10" i="3"/>
  <c r="F10" i="3"/>
  <c r="H22" i="3"/>
  <c r="G22" i="3"/>
  <c r="G21" i="3" s="1"/>
  <c r="F22" i="3"/>
  <c r="E22" i="3"/>
  <c r="E21" i="3" s="1"/>
  <c r="H20" i="3"/>
  <c r="G20" i="3"/>
  <c r="F20" i="3"/>
  <c r="E20" i="3"/>
  <c r="D20" i="3"/>
  <c r="G19" i="3"/>
  <c r="G18" i="3" s="1"/>
  <c r="H17" i="3"/>
  <c r="G17" i="3"/>
  <c r="F17" i="3"/>
  <c r="E17" i="3"/>
  <c r="H16" i="3"/>
  <c r="H15" i="3"/>
  <c r="G15" i="3"/>
  <c r="F15" i="3"/>
  <c r="E15" i="3"/>
  <c r="D15" i="3"/>
  <c r="H14" i="3"/>
  <c r="G14" i="3"/>
  <c r="F14" i="3"/>
  <c r="E14" i="3"/>
  <c r="D14" i="3"/>
  <c r="G13" i="3"/>
  <c r="H11" i="3"/>
  <c r="G11" i="3"/>
  <c r="F11" i="3"/>
  <c r="E11" i="3"/>
  <c r="D11" i="3"/>
  <c r="G10" i="3"/>
  <c r="G9" i="3" s="1"/>
  <c r="D71" i="4"/>
  <c r="D70" i="4" s="1"/>
  <c r="D69" i="4" s="1"/>
  <c r="H70" i="4"/>
  <c r="G70" i="4"/>
  <c r="G69" i="4" s="1"/>
  <c r="F70" i="4"/>
  <c r="F69" i="4" s="1"/>
  <c r="E70" i="4"/>
  <c r="E69" i="4" s="1"/>
  <c r="H69" i="4"/>
  <c r="H67" i="4"/>
  <c r="E67" i="4"/>
  <c r="H66" i="4"/>
  <c r="H65" i="4" s="1"/>
  <c r="G66" i="4"/>
  <c r="F66" i="4"/>
  <c r="F65" i="4" s="1"/>
  <c r="G65" i="4"/>
  <c r="H63" i="4"/>
  <c r="H62" i="4" s="1"/>
  <c r="H61" i="4" s="1"/>
  <c r="E63" i="4"/>
  <c r="D63" i="4"/>
  <c r="D62" i="4" s="1"/>
  <c r="D61" i="4" s="1"/>
  <c r="G62" i="4"/>
  <c r="G61" i="4" s="1"/>
  <c r="G10" i="4" s="1"/>
  <c r="F62" i="4"/>
  <c r="E62" i="4"/>
  <c r="E61" i="4" s="1"/>
  <c r="F61" i="4"/>
  <c r="D59" i="4"/>
  <c r="D58" i="4"/>
  <c r="H57" i="4"/>
  <c r="G57" i="4"/>
  <c r="G56" i="4" s="1"/>
  <c r="F57" i="4"/>
  <c r="F56" i="4" s="1"/>
  <c r="E57" i="4"/>
  <c r="E56" i="4" s="1"/>
  <c r="H56" i="4"/>
  <c r="D55" i="4"/>
  <c r="F54" i="4"/>
  <c r="E54" i="4"/>
  <c r="D54" i="4" s="1"/>
  <c r="D53" i="4"/>
  <c r="D52" i="4"/>
  <c r="D17" i="4" s="1"/>
  <c r="E51" i="4"/>
  <c r="D51" i="4" s="1"/>
  <c r="E50" i="4"/>
  <c r="H49" i="4"/>
  <c r="G49" i="4"/>
  <c r="F49" i="4"/>
  <c r="E49" i="4"/>
  <c r="H48" i="4"/>
  <c r="G48" i="4"/>
  <c r="F48" i="4"/>
  <c r="E48" i="4"/>
  <c r="E46" i="4"/>
  <c r="D46" i="4"/>
  <c r="H45" i="4"/>
  <c r="G45" i="4"/>
  <c r="F45" i="4"/>
  <c r="E45" i="4"/>
  <c r="H44" i="4"/>
  <c r="G44" i="4"/>
  <c r="F44" i="4"/>
  <c r="E44" i="4"/>
  <c r="D44" i="4"/>
  <c r="E43" i="4"/>
  <c r="D43" i="4" s="1"/>
  <c r="D42" i="4" s="1"/>
  <c r="H42" i="4"/>
  <c r="G42" i="4"/>
  <c r="F42" i="4"/>
  <c r="E42" i="4"/>
  <c r="E41" i="4"/>
  <c r="D41" i="4"/>
  <c r="E40" i="4"/>
  <c r="D40" i="4"/>
  <c r="D39" i="4" s="1"/>
  <c r="H39" i="4"/>
  <c r="G39" i="4"/>
  <c r="G38" i="4" s="1"/>
  <c r="F39" i="4"/>
  <c r="E39" i="4"/>
  <c r="E38" i="4" s="1"/>
  <c r="H38" i="4"/>
  <c r="F38" i="4"/>
  <c r="E36" i="4"/>
  <c r="D36" i="4" s="1"/>
  <c r="H35" i="4"/>
  <c r="H34" i="4" s="1"/>
  <c r="G35" i="4"/>
  <c r="F35" i="4"/>
  <c r="F34" i="4" s="1"/>
  <c r="G34" i="4"/>
  <c r="E33" i="4"/>
  <c r="H32" i="4"/>
  <c r="G32" i="4"/>
  <c r="F32" i="4"/>
  <c r="E32" i="4"/>
  <c r="E31" i="4"/>
  <c r="D31" i="4"/>
  <c r="E30" i="4"/>
  <c r="D30" i="4"/>
  <c r="D29" i="4" s="1"/>
  <c r="H29" i="4"/>
  <c r="G29" i="4"/>
  <c r="F29" i="4"/>
  <c r="E29" i="4"/>
  <c r="H28" i="4"/>
  <c r="G28" i="4"/>
  <c r="F28" i="4"/>
  <c r="E28" i="4"/>
  <c r="H26" i="4"/>
  <c r="G26" i="4"/>
  <c r="F26" i="4"/>
  <c r="E26" i="4"/>
  <c r="H25" i="4"/>
  <c r="G25" i="4"/>
  <c r="F25" i="4"/>
  <c r="E25" i="4"/>
  <c r="H24" i="4"/>
  <c r="G24" i="4"/>
  <c r="F24" i="4"/>
  <c r="E24" i="4"/>
  <c r="D24" i="4"/>
  <c r="H23" i="4"/>
  <c r="H22" i="4" s="1"/>
  <c r="H21" i="4" s="1"/>
  <c r="G23" i="4"/>
  <c r="F23" i="4"/>
  <c r="F22" i="4" s="1"/>
  <c r="F21" i="4" s="1"/>
  <c r="E23" i="4"/>
  <c r="D23" i="4"/>
  <c r="G22" i="4"/>
  <c r="G21" i="4" s="1"/>
  <c r="E22" i="4"/>
  <c r="E21" i="4" s="1"/>
  <c r="H20" i="4"/>
  <c r="H19" i="4" s="1"/>
  <c r="G20" i="4"/>
  <c r="F20" i="4"/>
  <c r="F19" i="4" s="1"/>
  <c r="G19" i="4"/>
  <c r="H18" i="4"/>
  <c r="G18" i="4"/>
  <c r="F18" i="4"/>
  <c r="E18" i="4"/>
  <c r="D18" i="4"/>
  <c r="H17" i="4"/>
  <c r="G59" i="1" s="1"/>
  <c r="G17" i="4"/>
  <c r="F17" i="4"/>
  <c r="E59" i="1" s="1"/>
  <c r="E17" i="4"/>
  <c r="D59" i="1" s="1"/>
  <c r="H16" i="4"/>
  <c r="G16" i="4"/>
  <c r="F16" i="4"/>
  <c r="E16" i="4"/>
  <c r="H15" i="4"/>
  <c r="G15" i="4"/>
  <c r="F15" i="4"/>
  <c r="H14" i="4"/>
  <c r="G14" i="4"/>
  <c r="F14" i="4"/>
  <c r="F13" i="4" s="1"/>
  <c r="F12" i="4" s="1"/>
  <c r="E14" i="4"/>
  <c r="H13" i="4"/>
  <c r="H11" i="4"/>
  <c r="G11" i="4"/>
  <c r="F11" i="4"/>
  <c r="E11" i="4"/>
  <c r="D67" i="5"/>
  <c r="D66" i="5" s="1"/>
  <c r="H66" i="5"/>
  <c r="G66" i="5"/>
  <c r="F66" i="5"/>
  <c r="E66" i="5"/>
  <c r="E62" i="5" s="1"/>
  <c r="D65" i="5"/>
  <c r="O65" i="5" s="1"/>
  <c r="D64" i="5"/>
  <c r="D63" i="5" s="1"/>
  <c r="H63" i="5"/>
  <c r="H62" i="5" s="1"/>
  <c r="G63" i="5"/>
  <c r="F63" i="5"/>
  <c r="E63" i="5"/>
  <c r="F62" i="5"/>
  <c r="D61" i="5"/>
  <c r="D60" i="5" s="1"/>
  <c r="H60" i="5"/>
  <c r="G60" i="5"/>
  <c r="F60" i="5"/>
  <c r="E60" i="5"/>
  <c r="D59" i="5"/>
  <c r="D37" i="5" s="1"/>
  <c r="D58" i="5"/>
  <c r="D57" i="5" s="1"/>
  <c r="D56" i="5" s="1"/>
  <c r="H57" i="5"/>
  <c r="H56" i="5" s="1"/>
  <c r="G57" i="5"/>
  <c r="G56" i="5" s="1"/>
  <c r="F57" i="5"/>
  <c r="F56" i="5" s="1"/>
  <c r="E57" i="5"/>
  <c r="E56" i="5" s="1"/>
  <c r="D54" i="5"/>
  <c r="D53" i="5" s="1"/>
  <c r="H53" i="5"/>
  <c r="G53" i="5"/>
  <c r="G52" i="5" s="1"/>
  <c r="F53" i="5"/>
  <c r="F52" i="5" s="1"/>
  <c r="E53" i="5"/>
  <c r="E52" i="5" s="1"/>
  <c r="H52" i="5"/>
  <c r="D52" i="5"/>
  <c r="E50" i="5"/>
  <c r="D50" i="5" s="1"/>
  <c r="H49" i="5"/>
  <c r="G49" i="5"/>
  <c r="F49" i="5"/>
  <c r="E49" i="5"/>
  <c r="H48" i="5"/>
  <c r="H33" i="5" s="1"/>
  <c r="H31" i="5" s="1"/>
  <c r="G48" i="5"/>
  <c r="F48" i="5"/>
  <c r="F33" i="5" s="1"/>
  <c r="F31" i="5" s="1"/>
  <c r="E48" i="5"/>
  <c r="H46" i="5"/>
  <c r="H45" i="5" s="1"/>
  <c r="G46" i="5"/>
  <c r="F46" i="5"/>
  <c r="F45" i="5" s="1"/>
  <c r="F41" i="5" s="1"/>
  <c r="E46" i="5"/>
  <c r="D46" i="5"/>
  <c r="D45" i="5" s="1"/>
  <c r="G45" i="5"/>
  <c r="E45" i="5"/>
  <c r="E41" i="5" s="1"/>
  <c r="H44" i="5"/>
  <c r="G44" i="5"/>
  <c r="F44" i="5"/>
  <c r="E44" i="5"/>
  <c r="D44" i="5"/>
  <c r="D43" i="5"/>
  <c r="D42" i="5" s="1"/>
  <c r="H42" i="5"/>
  <c r="G42" i="5"/>
  <c r="G41" i="5" s="1"/>
  <c r="F42" i="5"/>
  <c r="E42" i="5"/>
  <c r="H40" i="5"/>
  <c r="H39" i="5" s="1"/>
  <c r="G40" i="5"/>
  <c r="G39" i="5" s="1"/>
  <c r="F40" i="5"/>
  <c r="F39" i="5" s="1"/>
  <c r="E40" i="5"/>
  <c r="E39" i="5" s="1"/>
  <c r="H38" i="5"/>
  <c r="G38" i="5"/>
  <c r="F38" i="5"/>
  <c r="E38" i="5"/>
  <c r="H37" i="5"/>
  <c r="G37" i="5"/>
  <c r="F37" i="5"/>
  <c r="E37" i="5"/>
  <c r="H36" i="5"/>
  <c r="G60" i="1" s="1"/>
  <c r="G36" i="5"/>
  <c r="F36" i="5"/>
  <c r="E60" i="1" s="1"/>
  <c r="E36" i="5"/>
  <c r="F35" i="5"/>
  <c r="F34" i="5" s="1"/>
  <c r="D29" i="5"/>
  <c r="H28" i="5"/>
  <c r="G28" i="5"/>
  <c r="G27" i="5" s="1"/>
  <c r="F28" i="5"/>
  <c r="F27" i="5" s="1"/>
  <c r="E28" i="5"/>
  <c r="E27" i="5" s="1"/>
  <c r="H27" i="5"/>
  <c r="D26" i="5"/>
  <c r="D25" i="5" s="1"/>
  <c r="H25" i="5"/>
  <c r="G25" i="5"/>
  <c r="F25" i="5"/>
  <c r="E25" i="5"/>
  <c r="D24" i="5"/>
  <c r="D23" i="5" s="1"/>
  <c r="D22" i="5" s="1"/>
  <c r="H23" i="5"/>
  <c r="G23" i="5"/>
  <c r="G22" i="5" s="1"/>
  <c r="F23" i="5"/>
  <c r="E23" i="5"/>
  <c r="E22" i="5" s="1"/>
  <c r="H20" i="5"/>
  <c r="H19" i="5" s="1"/>
  <c r="H18" i="5" s="1"/>
  <c r="G20" i="5"/>
  <c r="G19" i="5" s="1"/>
  <c r="G18" i="5" s="1"/>
  <c r="F20" i="5"/>
  <c r="F19" i="5" s="1"/>
  <c r="F18" i="5" s="1"/>
  <c r="E20" i="5"/>
  <c r="E19" i="5" s="1"/>
  <c r="E18" i="5" s="1"/>
  <c r="H17" i="5"/>
  <c r="H16" i="5" s="1"/>
  <c r="G17" i="5"/>
  <c r="F17" i="5"/>
  <c r="F16" i="5" s="1"/>
  <c r="E17" i="5"/>
  <c r="E16" i="5" s="1"/>
  <c r="D17" i="5"/>
  <c r="D16" i="5" s="1"/>
  <c r="G16" i="5"/>
  <c r="H15" i="5"/>
  <c r="H14" i="5" s="1"/>
  <c r="H13" i="5" s="1"/>
  <c r="G15" i="5"/>
  <c r="G14" i="5" s="1"/>
  <c r="F15" i="5"/>
  <c r="F14" i="5" s="1"/>
  <c r="F13" i="5" s="1"/>
  <c r="E15" i="5"/>
  <c r="E14" i="5" s="1"/>
  <c r="H172" i="6"/>
  <c r="D172" i="6" s="1"/>
  <c r="D171" i="6" s="1"/>
  <c r="D170" i="6" s="1"/>
  <c r="H171" i="6"/>
  <c r="G171" i="6"/>
  <c r="G170" i="6" s="1"/>
  <c r="F171" i="6"/>
  <c r="E171" i="6"/>
  <c r="E170" i="6" s="1"/>
  <c r="H170" i="6"/>
  <c r="F170" i="6"/>
  <c r="H168" i="6"/>
  <c r="D168" i="6"/>
  <c r="D167" i="6" s="1"/>
  <c r="D166" i="6" s="1"/>
  <c r="H167" i="6"/>
  <c r="G167" i="6"/>
  <c r="G166" i="6" s="1"/>
  <c r="F167" i="6"/>
  <c r="E167" i="6"/>
  <c r="E166" i="6" s="1"/>
  <c r="H166" i="6"/>
  <c r="F166" i="6"/>
  <c r="H164" i="6"/>
  <c r="D164" i="6" s="1"/>
  <c r="H163" i="6"/>
  <c r="H162" i="6" s="1"/>
  <c r="G163" i="6"/>
  <c r="F163" i="6"/>
  <c r="F162" i="6" s="1"/>
  <c r="E163" i="6"/>
  <c r="D163" i="6"/>
  <c r="D162" i="6" s="1"/>
  <c r="G162" i="6"/>
  <c r="E162" i="6"/>
  <c r="H160" i="6"/>
  <c r="D160" i="6" s="1"/>
  <c r="D159" i="6" s="1"/>
  <c r="D158" i="6" s="1"/>
  <c r="H159" i="6"/>
  <c r="H158" i="6" s="1"/>
  <c r="G159" i="6"/>
  <c r="F159" i="6"/>
  <c r="F158" i="6" s="1"/>
  <c r="E159" i="6"/>
  <c r="G158" i="6"/>
  <c r="E158" i="6"/>
  <c r="H156" i="6"/>
  <c r="D156" i="6" s="1"/>
  <c r="H155" i="6"/>
  <c r="H154" i="6" s="1"/>
  <c r="G155" i="6"/>
  <c r="F155" i="6"/>
  <c r="F154" i="6" s="1"/>
  <c r="E155" i="6"/>
  <c r="D155" i="6"/>
  <c r="D154" i="6" s="1"/>
  <c r="G154" i="6"/>
  <c r="E154" i="6"/>
  <c r="H152" i="6"/>
  <c r="D152" i="6" s="1"/>
  <c r="D151" i="6" s="1"/>
  <c r="D150" i="6" s="1"/>
  <c r="H151" i="6"/>
  <c r="G151" i="6"/>
  <c r="F151" i="6"/>
  <c r="E151" i="6"/>
  <c r="H150" i="6"/>
  <c r="G150" i="6"/>
  <c r="F150" i="6"/>
  <c r="E150" i="6"/>
  <c r="H148" i="6"/>
  <c r="D148" i="6" s="1"/>
  <c r="D147" i="6" s="1"/>
  <c r="D146" i="6" s="1"/>
  <c r="G147" i="6"/>
  <c r="F147" i="6"/>
  <c r="F146" i="6" s="1"/>
  <c r="E147" i="6"/>
  <c r="G146" i="6"/>
  <c r="E146" i="6"/>
  <c r="G143" i="6"/>
  <c r="F143" i="6"/>
  <c r="F142" i="6" s="1"/>
  <c r="E143" i="6"/>
  <c r="D143" i="6"/>
  <c r="D142" i="6" s="1"/>
  <c r="G142" i="6"/>
  <c r="E142" i="6"/>
  <c r="H140" i="6"/>
  <c r="D140" i="6" s="1"/>
  <c r="H139" i="6"/>
  <c r="H138" i="6" s="1"/>
  <c r="G139" i="6"/>
  <c r="F139" i="6"/>
  <c r="F138" i="6" s="1"/>
  <c r="E139" i="6"/>
  <c r="D139" i="6"/>
  <c r="G138" i="6"/>
  <c r="E138" i="6"/>
  <c r="H136" i="6"/>
  <c r="D136" i="6" s="1"/>
  <c r="D135" i="6" s="1"/>
  <c r="D134" i="6" s="1"/>
  <c r="H135" i="6"/>
  <c r="H134" i="6" s="1"/>
  <c r="G135" i="6"/>
  <c r="F135" i="6"/>
  <c r="F134" i="6" s="1"/>
  <c r="E135" i="6"/>
  <c r="G134" i="6"/>
  <c r="E134" i="6"/>
  <c r="H132" i="6"/>
  <c r="G131" i="6"/>
  <c r="G130" i="6" s="1"/>
  <c r="G104" i="6" s="1"/>
  <c r="F131" i="6"/>
  <c r="E131" i="6"/>
  <c r="E130" i="6" s="1"/>
  <c r="F130" i="6"/>
  <c r="D128" i="6"/>
  <c r="G127" i="6"/>
  <c r="G126" i="6" s="1"/>
  <c r="F127" i="6"/>
  <c r="E127" i="6"/>
  <c r="E126" i="6" s="1"/>
  <c r="D127" i="6"/>
  <c r="D126" i="6" s="1"/>
  <c r="H126" i="6"/>
  <c r="F126" i="6"/>
  <c r="E124" i="6"/>
  <c r="D124" i="6" s="1"/>
  <c r="D123" i="6" s="1"/>
  <c r="D122" i="6" s="1"/>
  <c r="H123" i="6"/>
  <c r="G123" i="6"/>
  <c r="F123" i="6"/>
  <c r="E123" i="6"/>
  <c r="H122" i="6"/>
  <c r="G122" i="6"/>
  <c r="F122" i="6"/>
  <c r="E122" i="6"/>
  <c r="E120" i="6"/>
  <c r="H119" i="6"/>
  <c r="G119" i="6"/>
  <c r="F119" i="6"/>
  <c r="E119" i="6"/>
  <c r="H118" i="6"/>
  <c r="G118" i="6"/>
  <c r="F118" i="6"/>
  <c r="E118" i="6"/>
  <c r="E116" i="6"/>
  <c r="D116" i="6" s="1"/>
  <c r="D115" i="6" s="1"/>
  <c r="D114" i="6" s="1"/>
  <c r="H115" i="6"/>
  <c r="G115" i="6"/>
  <c r="G114" i="6" s="1"/>
  <c r="F115" i="6"/>
  <c r="F114" i="6" s="1"/>
  <c r="H114" i="6"/>
  <c r="D112" i="6"/>
  <c r="H111" i="6"/>
  <c r="G111" i="6"/>
  <c r="F111" i="6"/>
  <c r="D111" i="6"/>
  <c r="H110" i="6"/>
  <c r="G110" i="6"/>
  <c r="F110" i="6"/>
  <c r="D110" i="6"/>
  <c r="G108" i="6"/>
  <c r="F108" i="6"/>
  <c r="G107" i="6"/>
  <c r="F107" i="6"/>
  <c r="F106" i="6" s="1"/>
  <c r="G106" i="6"/>
  <c r="H105" i="6"/>
  <c r="H23" i="6"/>
  <c r="G23" i="6"/>
  <c r="F23" i="6"/>
  <c r="E23" i="6"/>
  <c r="H22" i="6"/>
  <c r="G22" i="6"/>
  <c r="F22" i="6"/>
  <c r="E22" i="6"/>
  <c r="H21" i="6"/>
  <c r="G21" i="6"/>
  <c r="F21" i="6"/>
  <c r="E21" i="6"/>
  <c r="H20" i="6"/>
  <c r="G20" i="6"/>
  <c r="F20" i="6"/>
  <c r="E20" i="6"/>
  <c r="H19" i="6"/>
  <c r="G19" i="6"/>
  <c r="F19" i="6"/>
  <c r="E19" i="6"/>
  <c r="H18" i="6"/>
  <c r="G18" i="6"/>
  <c r="F18" i="6"/>
  <c r="E18" i="6"/>
  <c r="H17" i="6"/>
  <c r="G17" i="6"/>
  <c r="F17" i="6"/>
  <c r="E17" i="6"/>
  <c r="H16" i="6"/>
  <c r="G16" i="6"/>
  <c r="F16" i="6"/>
  <c r="E16" i="6"/>
  <c r="D16" i="6"/>
  <c r="D14" i="6" s="1"/>
  <c r="H15" i="6"/>
  <c r="G15" i="6"/>
  <c r="G14" i="6" s="1"/>
  <c r="G13" i="6" s="1"/>
  <c r="F15" i="6"/>
  <c r="E15" i="6"/>
  <c r="E14" i="6" s="1"/>
  <c r="E13" i="6" s="1"/>
  <c r="D15" i="6"/>
  <c r="H14" i="6"/>
  <c r="H13" i="6" s="1"/>
  <c r="H12" i="6"/>
  <c r="G12" i="6"/>
  <c r="F12" i="6"/>
  <c r="E12" i="6"/>
  <c r="D12" i="6"/>
  <c r="H11" i="6"/>
  <c r="G11" i="6"/>
  <c r="F11" i="6"/>
  <c r="F10" i="6" s="1"/>
  <c r="E11" i="6"/>
  <c r="H10" i="6"/>
  <c r="D89" i="7"/>
  <c r="D88" i="7" s="1"/>
  <c r="H88" i="7"/>
  <c r="G88" i="7"/>
  <c r="F88" i="7"/>
  <c r="E88" i="7"/>
  <c r="E85" i="7" s="1"/>
  <c r="D87" i="7"/>
  <c r="D86" i="7" s="1"/>
  <c r="D85" i="7" s="1"/>
  <c r="H86" i="7"/>
  <c r="G86" i="7"/>
  <c r="F86" i="7"/>
  <c r="E86" i="7"/>
  <c r="F85" i="7"/>
  <c r="D84" i="7"/>
  <c r="H83" i="7"/>
  <c r="G83" i="7"/>
  <c r="F83" i="7"/>
  <c r="E83" i="7"/>
  <c r="D83" i="7"/>
  <c r="D82" i="7"/>
  <c r="D81" i="7"/>
  <c r="H80" i="7"/>
  <c r="G80" i="7"/>
  <c r="F80" i="7"/>
  <c r="E80" i="7"/>
  <c r="E79" i="7" s="1"/>
  <c r="H79" i="7"/>
  <c r="F79" i="7"/>
  <c r="D77" i="7"/>
  <c r="H76" i="7"/>
  <c r="G76" i="7"/>
  <c r="F76" i="7"/>
  <c r="F73" i="7" s="1"/>
  <c r="E76" i="7"/>
  <c r="D76" i="7"/>
  <c r="D75" i="7"/>
  <c r="H74" i="7"/>
  <c r="G74" i="7"/>
  <c r="F74" i="7"/>
  <c r="E74" i="7"/>
  <c r="D74" i="7"/>
  <c r="G73" i="7"/>
  <c r="E73" i="7"/>
  <c r="E72" i="7"/>
  <c r="H71" i="7"/>
  <c r="G71" i="7"/>
  <c r="F71" i="7"/>
  <c r="D70" i="7"/>
  <c r="E69" i="7"/>
  <c r="H68" i="7"/>
  <c r="H67" i="7" s="1"/>
  <c r="G68" i="7"/>
  <c r="F68" i="7"/>
  <c r="F67" i="7" s="1"/>
  <c r="G67" i="7"/>
  <c r="H64" i="7"/>
  <c r="H63" i="7" s="1"/>
  <c r="G64" i="7"/>
  <c r="F64" i="7"/>
  <c r="F63" i="7" s="1"/>
  <c r="E64" i="7"/>
  <c r="D64" i="7"/>
  <c r="D63" i="7" s="1"/>
  <c r="G63" i="7"/>
  <c r="E63" i="7"/>
  <c r="D62" i="7"/>
  <c r="D61" i="7" s="1"/>
  <c r="D60" i="7" s="1"/>
  <c r="H61" i="7"/>
  <c r="G61" i="7"/>
  <c r="G60" i="7" s="1"/>
  <c r="F61" i="7"/>
  <c r="F60" i="7" s="1"/>
  <c r="E61" i="7"/>
  <c r="H60" i="7"/>
  <c r="E60" i="7"/>
  <c r="E58" i="7"/>
  <c r="D58" i="7" s="1"/>
  <c r="D57" i="7" s="1"/>
  <c r="D56" i="7" s="1"/>
  <c r="H57" i="7"/>
  <c r="H56" i="7" s="1"/>
  <c r="G57" i="7"/>
  <c r="F57" i="7"/>
  <c r="F56" i="7" s="1"/>
  <c r="G56" i="7"/>
  <c r="D54" i="7"/>
  <c r="D53" i="7" s="1"/>
  <c r="H53" i="7"/>
  <c r="G53" i="7"/>
  <c r="F53" i="7"/>
  <c r="E53" i="7"/>
  <c r="E52" i="7"/>
  <c r="D52" i="7" s="1"/>
  <c r="H51" i="7"/>
  <c r="G51" i="7"/>
  <c r="F51" i="7"/>
  <c r="E51" i="7"/>
  <c r="H50" i="7"/>
  <c r="G50" i="7"/>
  <c r="F50" i="7"/>
  <c r="E50" i="7"/>
  <c r="D49" i="7"/>
  <c r="H48" i="7"/>
  <c r="G48" i="7"/>
  <c r="F48" i="7"/>
  <c r="E48" i="7"/>
  <c r="D48" i="7"/>
  <c r="E47" i="7"/>
  <c r="D47" i="7" s="1"/>
  <c r="D46" i="7" s="1"/>
  <c r="H46" i="7"/>
  <c r="G46" i="7"/>
  <c r="F46" i="7"/>
  <c r="E46" i="7"/>
  <c r="H45" i="7"/>
  <c r="G45" i="7"/>
  <c r="F45" i="7"/>
  <c r="E45" i="7"/>
  <c r="D43" i="7"/>
  <c r="H42" i="7"/>
  <c r="G42" i="7"/>
  <c r="F42" i="7"/>
  <c r="E42" i="7"/>
  <c r="E39" i="7" s="1"/>
  <c r="D41" i="7"/>
  <c r="D40" i="7" s="1"/>
  <c r="H40" i="7"/>
  <c r="G40" i="7"/>
  <c r="F40" i="7"/>
  <c r="E40" i="7"/>
  <c r="H39" i="7"/>
  <c r="F39" i="7"/>
  <c r="D38" i="7"/>
  <c r="H37" i="7"/>
  <c r="G37" i="7"/>
  <c r="F37" i="7"/>
  <c r="E37" i="7"/>
  <c r="D37" i="7"/>
  <c r="E36" i="7"/>
  <c r="D36" i="7" s="1"/>
  <c r="E35" i="7"/>
  <c r="D35" i="7" s="1"/>
  <c r="H34" i="7"/>
  <c r="G34" i="7"/>
  <c r="G33" i="7" s="1"/>
  <c r="F34" i="7"/>
  <c r="E34" i="7"/>
  <c r="E33" i="7" s="1"/>
  <c r="D31" i="7"/>
  <c r="H30" i="7"/>
  <c r="H29" i="7" s="1"/>
  <c r="G30" i="7"/>
  <c r="F30" i="7"/>
  <c r="F29" i="7" s="1"/>
  <c r="E30" i="7"/>
  <c r="D30" i="7"/>
  <c r="D29" i="7" s="1"/>
  <c r="G29" i="7"/>
  <c r="E29" i="7"/>
  <c r="D28" i="7"/>
  <c r="H27" i="7"/>
  <c r="G27" i="7"/>
  <c r="F27" i="7"/>
  <c r="E27" i="7"/>
  <c r="D26" i="7"/>
  <c r="D25" i="7" s="1"/>
  <c r="H25" i="7"/>
  <c r="G25" i="7"/>
  <c r="G24" i="7" s="1"/>
  <c r="F25" i="7"/>
  <c r="E25" i="7"/>
  <c r="E24" i="7" s="1"/>
  <c r="H24" i="7"/>
  <c r="F24" i="7"/>
  <c r="H22" i="7"/>
  <c r="G22" i="7"/>
  <c r="G21" i="7" s="1"/>
  <c r="F22" i="7"/>
  <c r="E22" i="7"/>
  <c r="E21" i="7" s="1"/>
  <c r="H21" i="7"/>
  <c r="F21" i="7"/>
  <c r="H20" i="7"/>
  <c r="G20" i="7"/>
  <c r="F20" i="7"/>
  <c r="E20" i="7"/>
  <c r="H19" i="7"/>
  <c r="G19" i="7"/>
  <c r="G18" i="7" s="1"/>
  <c r="F19" i="7"/>
  <c r="E19" i="7"/>
  <c r="E18" i="7" s="1"/>
  <c r="H17" i="7"/>
  <c r="G17" i="7"/>
  <c r="G16" i="7" s="1"/>
  <c r="F17" i="7"/>
  <c r="F16" i="7" s="1"/>
  <c r="E17" i="7"/>
  <c r="E16" i="7" s="1"/>
  <c r="H16" i="7"/>
  <c r="H15" i="7"/>
  <c r="H13" i="7" s="1"/>
  <c r="G15" i="7"/>
  <c r="F15" i="7"/>
  <c r="F13" i="7" s="1"/>
  <c r="E15" i="7"/>
  <c r="H14" i="7"/>
  <c r="G14" i="7"/>
  <c r="F14" i="7"/>
  <c r="G13" i="7"/>
  <c r="G12" i="7"/>
  <c r="H11" i="7"/>
  <c r="G11" i="7"/>
  <c r="F11" i="7"/>
  <c r="E11" i="7"/>
  <c r="H9" i="7"/>
  <c r="G9" i="7"/>
  <c r="F9" i="7"/>
  <c r="E9" i="7"/>
  <c r="D254" i="8"/>
  <c r="D253" i="8"/>
  <c r="D252" i="8" s="1"/>
  <c r="D251" i="8" s="1"/>
  <c r="H252" i="8"/>
  <c r="G252" i="8"/>
  <c r="G251" i="8" s="1"/>
  <c r="F252" i="8"/>
  <c r="E252" i="8"/>
  <c r="E251" i="8" s="1"/>
  <c r="H251" i="8"/>
  <c r="F251" i="8"/>
  <c r="D250" i="8"/>
  <c r="D249" i="8"/>
  <c r="H248" i="8"/>
  <c r="G248" i="8"/>
  <c r="G247" i="8" s="1"/>
  <c r="F248" i="8"/>
  <c r="E248" i="8"/>
  <c r="E247" i="8" s="1"/>
  <c r="H247" i="8"/>
  <c r="F247" i="8"/>
  <c r="E245" i="8"/>
  <c r="D245" i="8" s="1"/>
  <c r="H244" i="8"/>
  <c r="G244" i="8"/>
  <c r="F244" i="8"/>
  <c r="E244" i="8"/>
  <c r="H243" i="8"/>
  <c r="G243" i="8"/>
  <c r="F243" i="8"/>
  <c r="E243" i="8"/>
  <c r="E242" i="8"/>
  <c r="H241" i="8"/>
  <c r="G241" i="8"/>
  <c r="F241" i="8"/>
  <c r="H240" i="8"/>
  <c r="H229" i="8" s="1"/>
  <c r="H227" i="8" s="1"/>
  <c r="G240" i="8"/>
  <c r="F240" i="8"/>
  <c r="H238" i="8"/>
  <c r="G238" i="8"/>
  <c r="F238" i="8"/>
  <c r="E238" i="8"/>
  <c r="H237" i="8"/>
  <c r="G70" i="1" s="1"/>
  <c r="G237" i="8"/>
  <c r="F237" i="8"/>
  <c r="E70" i="1" s="1"/>
  <c r="E237" i="8"/>
  <c r="D237" i="8"/>
  <c r="C70" i="1" s="1"/>
  <c r="H236" i="8"/>
  <c r="F236" i="8"/>
  <c r="H235" i="8"/>
  <c r="F235" i="8"/>
  <c r="H234" i="8"/>
  <c r="H231" i="8" s="1"/>
  <c r="H230" i="8" s="1"/>
  <c r="G234" i="8"/>
  <c r="F234" i="8"/>
  <c r="F231" i="8" s="1"/>
  <c r="F230" i="8" s="1"/>
  <c r="H233" i="8"/>
  <c r="G61" i="1" s="1"/>
  <c r="G233" i="8"/>
  <c r="F233" i="8"/>
  <c r="E61" i="1" s="1"/>
  <c r="E233" i="8"/>
  <c r="D233" i="8"/>
  <c r="C61" i="1" s="1"/>
  <c r="F229" i="8"/>
  <c r="F227" i="8" s="1"/>
  <c r="D225" i="8"/>
  <c r="H224" i="8"/>
  <c r="H223" i="8" s="1"/>
  <c r="G224" i="8"/>
  <c r="F224" i="8"/>
  <c r="F223" i="8" s="1"/>
  <c r="E224" i="8"/>
  <c r="D224" i="8"/>
  <c r="D223" i="8" s="1"/>
  <c r="G223" i="8"/>
  <c r="E223" i="8"/>
  <c r="D222" i="8"/>
  <c r="H221" i="8"/>
  <c r="H218" i="8" s="1"/>
  <c r="G221" i="8"/>
  <c r="F221" i="8"/>
  <c r="E221" i="8"/>
  <c r="D220" i="8"/>
  <c r="D219" i="8" s="1"/>
  <c r="H219" i="8"/>
  <c r="G219" i="8"/>
  <c r="F219" i="8"/>
  <c r="E219" i="8"/>
  <c r="F218" i="8"/>
  <c r="D216" i="8"/>
  <c r="D215" i="8"/>
  <c r="H214" i="8"/>
  <c r="G214" i="8"/>
  <c r="F214" i="8"/>
  <c r="E214" i="8"/>
  <c r="D213" i="8"/>
  <c r="D212" i="8"/>
  <c r="H211" i="8"/>
  <c r="G211" i="8"/>
  <c r="G210" i="8" s="1"/>
  <c r="F211" i="8"/>
  <c r="E211" i="8"/>
  <c r="E210" i="8" s="1"/>
  <c r="H210" i="8"/>
  <c r="F210" i="8"/>
  <c r="D209" i="8"/>
  <c r="D208" i="8"/>
  <c r="H207" i="8"/>
  <c r="G207" i="8"/>
  <c r="F207" i="8"/>
  <c r="E207" i="8"/>
  <c r="D206" i="8"/>
  <c r="D205" i="8"/>
  <c r="H204" i="8"/>
  <c r="H203" i="8" s="1"/>
  <c r="G204" i="8"/>
  <c r="G203" i="8" s="1"/>
  <c r="F204" i="8"/>
  <c r="F203" i="8" s="1"/>
  <c r="E204" i="8"/>
  <c r="E203" i="8" s="1"/>
  <c r="D28" i="8"/>
  <c r="C33" i="1" s="1"/>
  <c r="D160" i="8"/>
  <c r="D159" i="8" s="1"/>
  <c r="D157" i="8"/>
  <c r="D156" i="8"/>
  <c r="D151" i="8"/>
  <c r="D149" i="8" s="1"/>
  <c r="D148" i="8" s="1"/>
  <c r="D150" i="8"/>
  <c r="G149" i="8"/>
  <c r="F149" i="8"/>
  <c r="E149" i="8"/>
  <c r="H148" i="8"/>
  <c r="G148" i="8"/>
  <c r="F148" i="8"/>
  <c r="E148" i="8"/>
  <c r="G146" i="8"/>
  <c r="F146" i="8"/>
  <c r="E146" i="8"/>
  <c r="D146" i="8"/>
  <c r="D144" i="8"/>
  <c r="G143" i="8"/>
  <c r="G142" i="8" s="1"/>
  <c r="F143" i="8"/>
  <c r="E143" i="8"/>
  <c r="E142" i="8" s="1"/>
  <c r="D143" i="8"/>
  <c r="H142" i="8"/>
  <c r="F142" i="8"/>
  <c r="D142" i="8"/>
  <c r="H126" i="8"/>
  <c r="D126" i="8"/>
  <c r="D125" i="8" s="1"/>
  <c r="H125" i="8"/>
  <c r="G125" i="8"/>
  <c r="F125" i="8"/>
  <c r="E125" i="8"/>
  <c r="E122" i="8" s="1"/>
  <c r="H124" i="8"/>
  <c r="D124" i="8" s="1"/>
  <c r="D123" i="8" s="1"/>
  <c r="H123" i="8"/>
  <c r="H122" i="8" s="1"/>
  <c r="G123" i="8"/>
  <c r="F123" i="8"/>
  <c r="F122" i="8" s="1"/>
  <c r="H121" i="8"/>
  <c r="D121" i="8" s="1"/>
  <c r="D120" i="8" s="1"/>
  <c r="G120" i="8"/>
  <c r="F120" i="8"/>
  <c r="E120" i="8"/>
  <c r="H119" i="8"/>
  <c r="D119" i="8" s="1"/>
  <c r="D118" i="8" s="1"/>
  <c r="G118" i="8"/>
  <c r="F118" i="8"/>
  <c r="G117" i="8"/>
  <c r="F117" i="8"/>
  <c r="E117" i="8"/>
  <c r="H115" i="8"/>
  <c r="D115" i="8" s="1"/>
  <c r="D32" i="8" s="1"/>
  <c r="H114" i="8"/>
  <c r="G114" i="8"/>
  <c r="F114" i="8"/>
  <c r="E114" i="8"/>
  <c r="H113" i="8"/>
  <c r="D113" i="8" s="1"/>
  <c r="G112" i="8"/>
  <c r="G111" i="8" s="1"/>
  <c r="F112" i="8"/>
  <c r="F111" i="8" s="1"/>
  <c r="E111" i="8"/>
  <c r="H110" i="8"/>
  <c r="D110" i="8" s="1"/>
  <c r="H109" i="8"/>
  <c r="G109" i="8"/>
  <c r="F109" i="8"/>
  <c r="E109" i="8"/>
  <c r="H108" i="8"/>
  <c r="D108" i="8" s="1"/>
  <c r="G107" i="8"/>
  <c r="G106" i="8" s="1"/>
  <c r="F107" i="8"/>
  <c r="E106" i="8"/>
  <c r="D104" i="8"/>
  <c r="D103" i="8"/>
  <c r="H102" i="8"/>
  <c r="G102" i="8"/>
  <c r="F102" i="8"/>
  <c r="E102" i="8"/>
  <c r="D101" i="8"/>
  <c r="D100" i="8"/>
  <c r="H99" i="8"/>
  <c r="H98" i="8" s="1"/>
  <c r="G99" i="8"/>
  <c r="F99" i="8"/>
  <c r="F98" i="8" s="1"/>
  <c r="E99" i="8"/>
  <c r="E98" i="8"/>
  <c r="D97" i="8"/>
  <c r="D96" i="8"/>
  <c r="H95" i="8"/>
  <c r="G95" i="8"/>
  <c r="F95" i="8"/>
  <c r="E95" i="8"/>
  <c r="D95" i="8"/>
  <c r="D94" i="8"/>
  <c r="D93" i="8"/>
  <c r="D92" i="8"/>
  <c r="H91" i="8"/>
  <c r="H90" i="8" s="1"/>
  <c r="G91" i="8"/>
  <c r="F91" i="8"/>
  <c r="F90" i="8" s="1"/>
  <c r="E91" i="8"/>
  <c r="D91" i="8"/>
  <c r="G90" i="8"/>
  <c r="E90" i="8"/>
  <c r="E88" i="8"/>
  <c r="D88" i="8" s="1"/>
  <c r="D31" i="8" s="1"/>
  <c r="H87" i="8"/>
  <c r="D87" i="8" s="1"/>
  <c r="D86" i="8" s="1"/>
  <c r="H86" i="8"/>
  <c r="G86" i="8"/>
  <c r="F86" i="8"/>
  <c r="E85" i="8"/>
  <c r="D85" i="8" s="1"/>
  <c r="H84" i="8"/>
  <c r="D84" i="8" s="1"/>
  <c r="H83" i="8"/>
  <c r="G83" i="8"/>
  <c r="F83" i="8"/>
  <c r="H82" i="8"/>
  <c r="G82" i="8"/>
  <c r="F82" i="8"/>
  <c r="E81" i="8"/>
  <c r="D81" i="8" s="1"/>
  <c r="D79" i="8" s="1"/>
  <c r="H80" i="8"/>
  <c r="D80" i="8" s="1"/>
  <c r="H79" i="8"/>
  <c r="G79" i="8"/>
  <c r="F79" i="8"/>
  <c r="E78" i="8"/>
  <c r="D78" i="8" s="1"/>
  <c r="D16" i="8" s="1"/>
  <c r="C18" i="1" s="1"/>
  <c r="N18" i="1" s="1"/>
  <c r="H77" i="8"/>
  <c r="H75" i="8" s="1"/>
  <c r="H74" i="8" s="1"/>
  <c r="G77" i="8"/>
  <c r="E76" i="8"/>
  <c r="D76" i="8" s="1"/>
  <c r="F75" i="8"/>
  <c r="F74" i="8"/>
  <c r="D72" i="8"/>
  <c r="H71" i="8"/>
  <c r="G71" i="8"/>
  <c r="F71" i="8"/>
  <c r="E71" i="8"/>
  <c r="D71" i="8"/>
  <c r="D70" i="8"/>
  <c r="D69" i="8"/>
  <c r="D68" i="8" s="1"/>
  <c r="D67" i="8" s="1"/>
  <c r="H68" i="8"/>
  <c r="G68" i="8"/>
  <c r="F68" i="8"/>
  <c r="E68" i="8"/>
  <c r="E67" i="8" s="1"/>
  <c r="G67" i="8"/>
  <c r="D66" i="8"/>
  <c r="D65" i="8" s="1"/>
  <c r="H65" i="8"/>
  <c r="G65" i="8"/>
  <c r="F65" i="8"/>
  <c r="E65" i="8"/>
  <c r="D64" i="8"/>
  <c r="D63" i="8"/>
  <c r="H62" i="8"/>
  <c r="G62" i="8"/>
  <c r="G61" i="8" s="1"/>
  <c r="F62" i="8"/>
  <c r="E62" i="8"/>
  <c r="E61" i="8" s="1"/>
  <c r="D62" i="8"/>
  <c r="H61" i="8"/>
  <c r="F61" i="8"/>
  <c r="E59" i="8"/>
  <c r="D59" i="8" s="1"/>
  <c r="D58" i="8" s="1"/>
  <c r="H58" i="8"/>
  <c r="G58" i="8"/>
  <c r="F58" i="8"/>
  <c r="D57" i="8"/>
  <c r="E56" i="8"/>
  <c r="D56" i="8"/>
  <c r="D55" i="8" s="1"/>
  <c r="H55" i="8"/>
  <c r="G55" i="8"/>
  <c r="G54" i="8" s="1"/>
  <c r="F55" i="8"/>
  <c r="E55" i="8"/>
  <c r="H54" i="8"/>
  <c r="F54" i="8"/>
  <c r="E53" i="8"/>
  <c r="D53" i="8"/>
  <c r="D52" i="8" s="1"/>
  <c r="H52" i="8"/>
  <c r="G52" i="8"/>
  <c r="F52" i="8"/>
  <c r="E52" i="8"/>
  <c r="E51" i="8"/>
  <c r="D51" i="8" s="1"/>
  <c r="D50" i="8"/>
  <c r="H49" i="8"/>
  <c r="G49" i="8"/>
  <c r="G48" i="8" s="1"/>
  <c r="F49" i="8"/>
  <c r="E49" i="8"/>
  <c r="E48" i="8" s="1"/>
  <c r="H48" i="8"/>
  <c r="F48" i="8"/>
  <c r="D46" i="8"/>
  <c r="E45" i="8"/>
  <c r="D45" i="8" s="1"/>
  <c r="H44" i="8"/>
  <c r="G44" i="8"/>
  <c r="F44" i="8"/>
  <c r="D43" i="8"/>
  <c r="O43" i="8" s="1"/>
  <c r="E42" i="8"/>
  <c r="D42" i="8" s="1"/>
  <c r="H41" i="8"/>
  <c r="G41" i="8"/>
  <c r="F41" i="8"/>
  <c r="F40" i="8" s="1"/>
  <c r="E41" i="8"/>
  <c r="H40" i="8"/>
  <c r="E39" i="8"/>
  <c r="D39" i="8" s="1"/>
  <c r="H38" i="8"/>
  <c r="G38" i="8"/>
  <c r="F38" i="8"/>
  <c r="E38" i="8"/>
  <c r="E37" i="8"/>
  <c r="D37" i="8" s="1"/>
  <c r="D36" i="8"/>
  <c r="H35" i="8"/>
  <c r="G35" i="8"/>
  <c r="G34" i="8" s="1"/>
  <c r="F35" i="8"/>
  <c r="E35" i="8"/>
  <c r="E34" i="8" s="1"/>
  <c r="H34" i="8"/>
  <c r="F34" i="8"/>
  <c r="H32" i="8"/>
  <c r="G32" i="8"/>
  <c r="F32" i="8"/>
  <c r="E32" i="8"/>
  <c r="H31" i="8"/>
  <c r="G31" i="8"/>
  <c r="F31" i="8"/>
  <c r="G30" i="8"/>
  <c r="F30" i="8"/>
  <c r="E30" i="8"/>
  <c r="H28" i="8"/>
  <c r="G33" i="1" s="1"/>
  <c r="G28" i="8"/>
  <c r="F33" i="1" s="1"/>
  <c r="F28" i="8"/>
  <c r="E33" i="1" s="1"/>
  <c r="E28" i="8"/>
  <c r="D33" i="1" s="1"/>
  <c r="G27" i="8"/>
  <c r="F27" i="8"/>
  <c r="E27" i="8"/>
  <c r="H26" i="8"/>
  <c r="G26" i="8"/>
  <c r="F26" i="8"/>
  <c r="E26" i="8"/>
  <c r="H25" i="8"/>
  <c r="G25" i="8"/>
  <c r="F25" i="8"/>
  <c r="E25" i="8"/>
  <c r="F24" i="8"/>
  <c r="E24" i="8"/>
  <c r="G22" i="8"/>
  <c r="F22" i="8"/>
  <c r="E22" i="8"/>
  <c r="H21" i="8"/>
  <c r="G21" i="8"/>
  <c r="F21" i="8"/>
  <c r="E21" i="8"/>
  <c r="G20" i="8"/>
  <c r="F20" i="8"/>
  <c r="E20" i="8"/>
  <c r="H19" i="8"/>
  <c r="G23" i="1" s="1"/>
  <c r="G19" i="8"/>
  <c r="F23" i="1" s="1"/>
  <c r="F19" i="8"/>
  <c r="E23" i="1" s="1"/>
  <c r="E19" i="8"/>
  <c r="D23" i="1" s="1"/>
  <c r="F18" i="8"/>
  <c r="H17" i="8"/>
  <c r="G17" i="8"/>
  <c r="F17" i="8"/>
  <c r="E17" i="8"/>
  <c r="H16" i="8"/>
  <c r="G18" i="1" s="1"/>
  <c r="G16" i="8"/>
  <c r="F18" i="1" s="1"/>
  <c r="F16" i="8"/>
  <c r="E18" i="1" s="1"/>
  <c r="E16" i="8"/>
  <c r="D18" i="1" s="1"/>
  <c r="H15" i="8"/>
  <c r="G15" i="8"/>
  <c r="F15" i="8"/>
  <c r="H14" i="8"/>
  <c r="H13" i="8" s="1"/>
  <c r="G14" i="8"/>
  <c r="F14" i="8"/>
  <c r="F13" i="8" s="1"/>
  <c r="F12" i="8" s="1"/>
  <c r="G13" i="8"/>
  <c r="E71" i="9"/>
  <c r="D71" i="9" s="1"/>
  <c r="D70" i="9" s="1"/>
  <c r="D69" i="9" s="1"/>
  <c r="D64" i="9" s="1"/>
  <c r="H70" i="9"/>
  <c r="G70" i="9"/>
  <c r="G69" i="9" s="1"/>
  <c r="F70" i="9"/>
  <c r="H69" i="9"/>
  <c r="F69" i="9"/>
  <c r="H67" i="9"/>
  <c r="G67" i="9"/>
  <c r="G66" i="9" s="1"/>
  <c r="G65" i="9" s="1"/>
  <c r="F67" i="9"/>
  <c r="H66" i="9"/>
  <c r="H65" i="9" s="1"/>
  <c r="F66" i="9"/>
  <c r="F65" i="9" s="1"/>
  <c r="H64" i="9"/>
  <c r="G64" i="9"/>
  <c r="F64" i="9"/>
  <c r="H63" i="9"/>
  <c r="H62" i="9" s="1"/>
  <c r="G63" i="9"/>
  <c r="G62" i="9" s="1"/>
  <c r="F63" i="9"/>
  <c r="E63" i="9"/>
  <c r="D63" i="9"/>
  <c r="F62" i="9"/>
  <c r="D57" i="9"/>
  <c r="D56" i="9" s="1"/>
  <c r="D55" i="9" s="1"/>
  <c r="D13" i="9" s="1"/>
  <c r="H56" i="9"/>
  <c r="G56" i="9"/>
  <c r="G55" i="9" s="1"/>
  <c r="G13" i="9" s="1"/>
  <c r="F56" i="9"/>
  <c r="F55" i="9" s="1"/>
  <c r="F13" i="9" s="1"/>
  <c r="E56" i="9"/>
  <c r="E55" i="9" s="1"/>
  <c r="E13" i="9" s="1"/>
  <c r="H55" i="9"/>
  <c r="H13" i="9" s="1"/>
  <c r="D53" i="9"/>
  <c r="H52" i="9"/>
  <c r="G52" i="9"/>
  <c r="F52" i="9"/>
  <c r="E52" i="9"/>
  <c r="H51" i="9"/>
  <c r="G51" i="9"/>
  <c r="F51" i="9"/>
  <c r="E51" i="9"/>
  <c r="D51" i="9" s="1"/>
  <c r="D50" i="9"/>
  <c r="D49" i="9" s="1"/>
  <c r="D48" i="9" s="1"/>
  <c r="H49" i="9"/>
  <c r="G49" i="9"/>
  <c r="G48" i="9" s="1"/>
  <c r="F49" i="9"/>
  <c r="F48" i="9" s="1"/>
  <c r="E49" i="9"/>
  <c r="E48" i="9" s="1"/>
  <c r="H48" i="9"/>
  <c r="D46" i="9"/>
  <c r="H45" i="9"/>
  <c r="G45" i="9"/>
  <c r="F45" i="9"/>
  <c r="E45" i="9"/>
  <c r="D45" i="9" s="1"/>
  <c r="H44" i="9"/>
  <c r="G44" i="9"/>
  <c r="F44" i="9"/>
  <c r="E44" i="9"/>
  <c r="D44" i="9" s="1"/>
  <c r="D43" i="9"/>
  <c r="D42" i="9" s="1"/>
  <c r="D41" i="9" s="1"/>
  <c r="H42" i="9"/>
  <c r="G42" i="9"/>
  <c r="G41" i="9" s="1"/>
  <c r="F42" i="9"/>
  <c r="F41" i="9" s="1"/>
  <c r="E42" i="9"/>
  <c r="E41" i="9" s="1"/>
  <c r="H41" i="9"/>
  <c r="H39" i="9"/>
  <c r="D39" i="9" s="1"/>
  <c r="H38" i="9"/>
  <c r="G38" i="9"/>
  <c r="F38" i="9"/>
  <c r="D38" i="9" s="1"/>
  <c r="H37" i="9"/>
  <c r="G37" i="9"/>
  <c r="F37" i="9"/>
  <c r="D37" i="9" s="1"/>
  <c r="D36" i="9"/>
  <c r="H35" i="9"/>
  <c r="G35" i="9"/>
  <c r="F35" i="9"/>
  <c r="D34" i="9"/>
  <c r="H33" i="9"/>
  <c r="G33" i="9"/>
  <c r="G32" i="9" s="1"/>
  <c r="F33" i="9"/>
  <c r="H32" i="9"/>
  <c r="F32" i="9"/>
  <c r="D30" i="9"/>
  <c r="H29" i="9"/>
  <c r="H28" i="9" s="1"/>
  <c r="G29" i="9"/>
  <c r="F29" i="9"/>
  <c r="F28" i="9" s="1"/>
  <c r="E29" i="9"/>
  <c r="D29" i="9"/>
  <c r="D28" i="9" s="1"/>
  <c r="G28" i="9"/>
  <c r="E28" i="9"/>
  <c r="D27" i="9"/>
  <c r="D26" i="9" s="1"/>
  <c r="H26" i="9"/>
  <c r="H23" i="9" s="1"/>
  <c r="H12" i="9" s="1"/>
  <c r="G26" i="9"/>
  <c r="F26" i="9"/>
  <c r="F23" i="9" s="1"/>
  <c r="E26" i="9"/>
  <c r="D25" i="9"/>
  <c r="D24" i="9" s="1"/>
  <c r="H24" i="9"/>
  <c r="G24" i="9"/>
  <c r="G23" i="9" s="1"/>
  <c r="F24" i="9"/>
  <c r="E24" i="9"/>
  <c r="E23" i="9" s="1"/>
  <c r="G21" i="9"/>
  <c r="G20" i="9" s="1"/>
  <c r="G19" i="9" s="1"/>
  <c r="F21" i="9"/>
  <c r="E21" i="9"/>
  <c r="E20" i="9" s="1"/>
  <c r="E19" i="9" s="1"/>
  <c r="F20" i="9"/>
  <c r="F19" i="9" s="1"/>
  <c r="H18" i="9"/>
  <c r="G18" i="9"/>
  <c r="G17" i="9" s="1"/>
  <c r="F18" i="9"/>
  <c r="F17" i="9" s="1"/>
  <c r="E18" i="9"/>
  <c r="E17" i="9" s="1"/>
  <c r="H17" i="9"/>
  <c r="H16" i="9"/>
  <c r="H15" i="9" s="1"/>
  <c r="H14" i="9" s="1"/>
  <c r="G16" i="9"/>
  <c r="F16" i="9"/>
  <c r="F15" i="9" s="1"/>
  <c r="E16" i="9"/>
  <c r="D16" i="9"/>
  <c r="D15" i="9" s="1"/>
  <c r="G15" i="9"/>
  <c r="E15" i="9"/>
  <c r="H30" i="10"/>
  <c r="D30" i="10" s="1"/>
  <c r="H29" i="10"/>
  <c r="G29" i="10"/>
  <c r="G28" i="10" s="1"/>
  <c r="F29" i="10"/>
  <c r="F28" i="10" s="1"/>
  <c r="E29" i="10"/>
  <c r="H28" i="10"/>
  <c r="E28" i="10"/>
  <c r="D27" i="10"/>
  <c r="D26" i="10" s="1"/>
  <c r="H26" i="10"/>
  <c r="G26" i="10"/>
  <c r="F26" i="10"/>
  <c r="E26" i="10"/>
  <c r="D25" i="10"/>
  <c r="D24" i="10" s="1"/>
  <c r="H24" i="10"/>
  <c r="G24" i="10"/>
  <c r="G23" i="10" s="1"/>
  <c r="F24" i="10"/>
  <c r="E24" i="10"/>
  <c r="E23" i="10"/>
  <c r="H21" i="10"/>
  <c r="G21" i="10"/>
  <c r="G20" i="10" s="1"/>
  <c r="G19" i="10" s="1"/>
  <c r="F21" i="10"/>
  <c r="E21" i="10"/>
  <c r="E20" i="10" s="1"/>
  <c r="E19" i="10" s="1"/>
  <c r="H20" i="10"/>
  <c r="H19" i="10" s="1"/>
  <c r="F20" i="10"/>
  <c r="F19" i="10" s="1"/>
  <c r="H18" i="10"/>
  <c r="H17" i="10" s="1"/>
  <c r="G18" i="10"/>
  <c r="F18" i="10"/>
  <c r="F17" i="10" s="1"/>
  <c r="E18" i="10"/>
  <c r="E17" i="10" s="1"/>
  <c r="D18" i="10"/>
  <c r="D17" i="10" s="1"/>
  <c r="G17" i="10"/>
  <c r="H16" i="10"/>
  <c r="H15" i="10" s="1"/>
  <c r="G16" i="10"/>
  <c r="F16" i="10"/>
  <c r="F15" i="10" s="1"/>
  <c r="E16" i="10"/>
  <c r="D16" i="10"/>
  <c r="D15" i="10" s="1"/>
  <c r="G15" i="10"/>
  <c r="E15" i="10"/>
  <c r="G14" i="10"/>
  <c r="P480" i="2"/>
  <c r="O68" i="1" s="1"/>
  <c r="P68" i="1" s="1"/>
  <c r="P479" i="2"/>
  <c r="P478" i="2"/>
  <c r="E478" i="2"/>
  <c r="F478" i="2"/>
  <c r="G478" i="2"/>
  <c r="H478" i="2"/>
  <c r="J478" i="2"/>
  <c r="K478" i="2"/>
  <c r="L478" i="2"/>
  <c r="M478" i="2"/>
  <c r="F479" i="2"/>
  <c r="G479" i="2"/>
  <c r="H479" i="2"/>
  <c r="K479" i="2"/>
  <c r="L479" i="2"/>
  <c r="M479" i="2"/>
  <c r="E480" i="2"/>
  <c r="D68" i="1" s="1"/>
  <c r="F480" i="2"/>
  <c r="E68" i="1" s="1"/>
  <c r="G480" i="2"/>
  <c r="F68" i="1" s="1"/>
  <c r="H480" i="2"/>
  <c r="G68" i="1" s="1"/>
  <c r="J480" i="2"/>
  <c r="K480" i="2"/>
  <c r="L480" i="2"/>
  <c r="M480" i="2"/>
  <c r="P475" i="2"/>
  <c r="E475" i="2"/>
  <c r="F475" i="2"/>
  <c r="E55" i="1" s="1"/>
  <c r="G475" i="2"/>
  <c r="F55" i="1" s="1"/>
  <c r="H475" i="2"/>
  <c r="G55" i="1" s="1"/>
  <c r="J475" i="2"/>
  <c r="K475" i="2"/>
  <c r="L475" i="2"/>
  <c r="M475" i="2"/>
  <c r="P474" i="2"/>
  <c r="F474" i="2"/>
  <c r="E58" i="1" s="1"/>
  <c r="G474" i="2"/>
  <c r="F58" i="1" s="1"/>
  <c r="H474" i="2"/>
  <c r="G58" i="1" s="1"/>
  <c r="K474" i="2"/>
  <c r="L474" i="2"/>
  <c r="M474" i="2"/>
  <c r="P473" i="2"/>
  <c r="Q473" i="2" s="1"/>
  <c r="E473" i="2"/>
  <c r="F473" i="2"/>
  <c r="G473" i="2"/>
  <c r="H473" i="2"/>
  <c r="J473" i="2"/>
  <c r="K473" i="2"/>
  <c r="L473" i="2"/>
  <c r="M473" i="2"/>
  <c r="P472" i="2"/>
  <c r="F472" i="2"/>
  <c r="K472" i="2"/>
  <c r="D410" i="2"/>
  <c r="D409" i="2" s="1"/>
  <c r="D408" i="2" s="1"/>
  <c r="H409" i="2"/>
  <c r="G409" i="2"/>
  <c r="F409" i="2"/>
  <c r="E409" i="2"/>
  <c r="H408" i="2"/>
  <c r="G408" i="2"/>
  <c r="F408" i="2"/>
  <c r="E408" i="2"/>
  <c r="E407" i="2"/>
  <c r="D407" i="2"/>
  <c r="G406" i="2"/>
  <c r="F406" i="2"/>
  <c r="E406" i="2"/>
  <c r="D406" i="2"/>
  <c r="E405" i="2"/>
  <c r="D405" i="2"/>
  <c r="D404" i="2" s="1"/>
  <c r="D403" i="2" s="1"/>
  <c r="H404" i="2"/>
  <c r="G404" i="2"/>
  <c r="G403" i="2" s="1"/>
  <c r="F404" i="2"/>
  <c r="E404" i="2"/>
  <c r="E403" i="2" s="1"/>
  <c r="H403" i="2"/>
  <c r="F403" i="2"/>
  <c r="H554" i="2"/>
  <c r="D554" i="2"/>
  <c r="H553" i="2"/>
  <c r="G553" i="2"/>
  <c r="G552" i="2" s="1"/>
  <c r="F553" i="2"/>
  <c r="E553" i="2"/>
  <c r="E552" i="2" s="1"/>
  <c r="H552" i="2"/>
  <c r="F552" i="2"/>
  <c r="M554" i="2"/>
  <c r="H550" i="2"/>
  <c r="G550" i="2"/>
  <c r="Q550" i="2" s="1"/>
  <c r="H549" i="2"/>
  <c r="H548" i="2" s="1"/>
  <c r="F549" i="2"/>
  <c r="F548" i="2" s="1"/>
  <c r="E549" i="2"/>
  <c r="E548" i="2" s="1"/>
  <c r="M550" i="2"/>
  <c r="L550" i="2"/>
  <c r="R554" i="2"/>
  <c r="M549" i="2"/>
  <c r="M548" i="2" s="1"/>
  <c r="K549" i="2"/>
  <c r="K548" i="2" s="1"/>
  <c r="J549" i="2"/>
  <c r="J548" i="2" s="1"/>
  <c r="D546" i="2"/>
  <c r="H545" i="2"/>
  <c r="H544" i="2" s="1"/>
  <c r="G545" i="2"/>
  <c r="F545" i="2"/>
  <c r="F544" i="2" s="1"/>
  <c r="E545" i="2"/>
  <c r="D545" i="2"/>
  <c r="D544" i="2" s="1"/>
  <c r="G544" i="2"/>
  <c r="E544" i="2"/>
  <c r="M545" i="2"/>
  <c r="M544" i="2" s="1"/>
  <c r="H542" i="2"/>
  <c r="D542" i="2" s="1"/>
  <c r="D541" i="2" s="1"/>
  <c r="D540" i="2" s="1"/>
  <c r="G541" i="2"/>
  <c r="F541" i="2"/>
  <c r="F540" i="2" s="1"/>
  <c r="E541" i="2"/>
  <c r="E540" i="2" s="1"/>
  <c r="G540" i="2"/>
  <c r="M542" i="2"/>
  <c r="I542" i="2" s="1"/>
  <c r="I541" i="2" s="1"/>
  <c r="I540" i="2" s="1"/>
  <c r="H538" i="2"/>
  <c r="D538" i="2" s="1"/>
  <c r="G537" i="2"/>
  <c r="G536" i="2" s="1"/>
  <c r="F537" i="2"/>
  <c r="F536" i="2" s="1"/>
  <c r="E537" i="2"/>
  <c r="E536" i="2" s="1"/>
  <c r="M538" i="2"/>
  <c r="N553" i="2"/>
  <c r="I554" i="2"/>
  <c r="I553" i="2" s="1"/>
  <c r="I552" i="2" s="1"/>
  <c r="P553" i="2"/>
  <c r="M553" i="2"/>
  <c r="M552" i="2" s="1"/>
  <c r="K553" i="2"/>
  <c r="K552" i="2" s="1"/>
  <c r="J553" i="2"/>
  <c r="J552" i="2" s="1"/>
  <c r="N550" i="2"/>
  <c r="P549" i="2"/>
  <c r="N549" i="2"/>
  <c r="R546" i="2"/>
  <c r="N546" i="2"/>
  <c r="I546" i="2"/>
  <c r="I545" i="2" s="1"/>
  <c r="P545" i="2"/>
  <c r="L545" i="2"/>
  <c r="K545" i="2"/>
  <c r="J545" i="2"/>
  <c r="J544" i="2" s="1"/>
  <c r="K544" i="2"/>
  <c r="R542" i="2"/>
  <c r="N542" i="2"/>
  <c r="P541" i="2"/>
  <c r="M541" i="2"/>
  <c r="M540" i="2" s="1"/>
  <c r="L541" i="2"/>
  <c r="L540" i="2" s="1"/>
  <c r="K541" i="2"/>
  <c r="K540" i="2" s="1"/>
  <c r="J541" i="2"/>
  <c r="J540" i="2" s="1"/>
  <c r="R538" i="2"/>
  <c r="I538" i="2"/>
  <c r="P537" i="2"/>
  <c r="Q537" i="2" s="1"/>
  <c r="M537" i="2"/>
  <c r="M536" i="2" s="1"/>
  <c r="L537" i="2"/>
  <c r="K537" i="2"/>
  <c r="K536" i="2" s="1"/>
  <c r="J537" i="2"/>
  <c r="J536" i="2" s="1"/>
  <c r="I537" i="2"/>
  <c r="I536" i="2" s="1"/>
  <c r="L536" i="2"/>
  <c r="D534" i="2"/>
  <c r="D533" i="2" s="1"/>
  <c r="D532" i="2" s="1"/>
  <c r="H533" i="2"/>
  <c r="H532" i="2" s="1"/>
  <c r="G533" i="2"/>
  <c r="G532" i="2" s="1"/>
  <c r="F533" i="2"/>
  <c r="F532" i="2" s="1"/>
  <c r="E533" i="2"/>
  <c r="E532" i="2" s="1"/>
  <c r="D531" i="2"/>
  <c r="E530" i="2"/>
  <c r="D530" i="2" s="1"/>
  <c r="H529" i="2"/>
  <c r="H528" i="2" s="1"/>
  <c r="G529" i="2"/>
  <c r="G528" i="2" s="1"/>
  <c r="F529" i="2"/>
  <c r="F528" i="2" s="1"/>
  <c r="I531" i="2"/>
  <c r="I534" i="2"/>
  <c r="I533" i="2" s="1"/>
  <c r="I532" i="2" s="1"/>
  <c r="K529" i="2"/>
  <c r="K528" i="2" s="1"/>
  <c r="J530" i="2"/>
  <c r="N530" i="2" s="1"/>
  <c r="D526" i="2"/>
  <c r="D525" i="2" s="1"/>
  <c r="D524" i="2" s="1"/>
  <c r="H525" i="2"/>
  <c r="H524" i="2" s="1"/>
  <c r="G525" i="2"/>
  <c r="G524" i="2" s="1"/>
  <c r="F525" i="2"/>
  <c r="F524" i="2" s="1"/>
  <c r="E525" i="2"/>
  <c r="E524" i="2" s="1"/>
  <c r="D522" i="2"/>
  <c r="D521" i="2" s="1"/>
  <c r="D520" i="2" s="1"/>
  <c r="H521" i="2"/>
  <c r="H520" i="2" s="1"/>
  <c r="G521" i="2"/>
  <c r="G520" i="2" s="1"/>
  <c r="F521" i="2"/>
  <c r="E521" i="2"/>
  <c r="E520" i="2" s="1"/>
  <c r="F520" i="2"/>
  <c r="D519" i="2"/>
  <c r="D518" i="2"/>
  <c r="H517" i="2"/>
  <c r="G517" i="2"/>
  <c r="G516" i="2" s="1"/>
  <c r="F517" i="2"/>
  <c r="F516" i="2" s="1"/>
  <c r="E517" i="2"/>
  <c r="E516" i="2" s="1"/>
  <c r="H516" i="2"/>
  <c r="K521" i="2"/>
  <c r="K520" i="2" s="1"/>
  <c r="J517" i="2"/>
  <c r="J516" i="2" s="1"/>
  <c r="D514" i="2"/>
  <c r="D513" i="2" s="1"/>
  <c r="D512" i="2" s="1"/>
  <c r="H513" i="2"/>
  <c r="G513" i="2"/>
  <c r="F513" i="2"/>
  <c r="E513" i="2"/>
  <c r="H512" i="2"/>
  <c r="G512" i="2"/>
  <c r="F512" i="2"/>
  <c r="E512" i="2"/>
  <c r="J513" i="2"/>
  <c r="J512" i="2" s="1"/>
  <c r="H510" i="2"/>
  <c r="E510" i="2"/>
  <c r="H509" i="2"/>
  <c r="H508" i="2" s="1"/>
  <c r="G509" i="2"/>
  <c r="F509" i="2"/>
  <c r="F508" i="2" s="1"/>
  <c r="G508" i="2"/>
  <c r="M510" i="2"/>
  <c r="J510" i="2"/>
  <c r="H506" i="2"/>
  <c r="D506" i="2" s="1"/>
  <c r="O506" i="2" s="1"/>
  <c r="G505" i="2"/>
  <c r="F505" i="2"/>
  <c r="E505" i="2"/>
  <c r="G504" i="2"/>
  <c r="F504" i="2"/>
  <c r="E504" i="2"/>
  <c r="M506" i="2"/>
  <c r="J505" i="2"/>
  <c r="J504" i="2"/>
  <c r="E502" i="2"/>
  <c r="H501" i="2"/>
  <c r="H500" i="2" s="1"/>
  <c r="G501" i="2"/>
  <c r="F501" i="2"/>
  <c r="F500" i="2" s="1"/>
  <c r="G500" i="2"/>
  <c r="E499" i="2"/>
  <c r="E498" i="2"/>
  <c r="D498" i="2" s="1"/>
  <c r="H497" i="2"/>
  <c r="H496" i="2" s="1"/>
  <c r="G497" i="2"/>
  <c r="G496" i="2" s="1"/>
  <c r="F497" i="2"/>
  <c r="F496" i="2" s="1"/>
  <c r="K501" i="2"/>
  <c r="K500" i="2" s="1"/>
  <c r="K497" i="2"/>
  <c r="K496" i="2" s="1"/>
  <c r="E494" i="2"/>
  <c r="H493" i="2"/>
  <c r="G493" i="2"/>
  <c r="F493" i="2"/>
  <c r="E493" i="2"/>
  <c r="H492" i="2"/>
  <c r="G492" i="2"/>
  <c r="F492" i="2"/>
  <c r="E492" i="2"/>
  <c r="J494" i="2"/>
  <c r="D490" i="2"/>
  <c r="D480" i="2" s="1"/>
  <c r="D489" i="2"/>
  <c r="D478" i="2" s="1"/>
  <c r="H488" i="2"/>
  <c r="G488" i="2"/>
  <c r="G487" i="2" s="1"/>
  <c r="F488" i="2"/>
  <c r="F487" i="2" s="1"/>
  <c r="E488" i="2"/>
  <c r="H487" i="2"/>
  <c r="D486" i="2"/>
  <c r="D475" i="2" s="1"/>
  <c r="D485" i="2"/>
  <c r="D484" i="2"/>
  <c r="H483" i="2"/>
  <c r="H482" i="2" s="1"/>
  <c r="G483" i="2"/>
  <c r="F483" i="2"/>
  <c r="F482" i="2" s="1"/>
  <c r="G482" i="2"/>
  <c r="E482" i="2"/>
  <c r="K483" i="2"/>
  <c r="K482" i="2" s="1"/>
  <c r="J482" i="2"/>
  <c r="P488" i="2"/>
  <c r="D465" i="2"/>
  <c r="H464" i="2"/>
  <c r="G464" i="2"/>
  <c r="F464" i="2"/>
  <c r="E464" i="2"/>
  <c r="H463" i="2"/>
  <c r="G463" i="2"/>
  <c r="F463" i="2"/>
  <c r="E463" i="2"/>
  <c r="E462" i="2"/>
  <c r="D462" i="2" s="1"/>
  <c r="H461" i="2"/>
  <c r="G461" i="2"/>
  <c r="F461" i="2"/>
  <c r="E461" i="2"/>
  <c r="E460" i="2"/>
  <c r="D460" i="2" s="1"/>
  <c r="H459" i="2"/>
  <c r="G459" i="2"/>
  <c r="F459" i="2"/>
  <c r="I465" i="2"/>
  <c r="J464" i="2"/>
  <c r="D447" i="2"/>
  <c r="D446" i="2" s="1"/>
  <c r="H446" i="2"/>
  <c r="G446" i="2"/>
  <c r="Q446" i="2" s="1"/>
  <c r="H445" i="2"/>
  <c r="H443" i="2" s="1"/>
  <c r="H442" i="2" s="1"/>
  <c r="E445" i="2"/>
  <c r="D444" i="2"/>
  <c r="G443" i="2"/>
  <c r="G442" i="2" s="1"/>
  <c r="F443" i="2"/>
  <c r="F442" i="2"/>
  <c r="D441" i="2"/>
  <c r="D440" i="2" s="1"/>
  <c r="H440" i="2"/>
  <c r="G440" i="2"/>
  <c r="F440" i="2"/>
  <c r="E440" i="2"/>
  <c r="H439" i="2"/>
  <c r="D439" i="2" s="1"/>
  <c r="D438" i="2"/>
  <c r="D437" i="2"/>
  <c r="G436" i="2"/>
  <c r="G435" i="2" s="1"/>
  <c r="F436" i="2"/>
  <c r="E436" i="2"/>
  <c r="E435" i="2" s="1"/>
  <c r="F435" i="2"/>
  <c r="R445" i="2"/>
  <c r="N441" i="2"/>
  <c r="N439" i="2"/>
  <c r="N438" i="2"/>
  <c r="O438" i="2" s="1"/>
  <c r="N437" i="2"/>
  <c r="P436" i="2"/>
  <c r="Q436" i="2" s="1"/>
  <c r="M446" i="2"/>
  <c r="L446" i="2"/>
  <c r="M445" i="2"/>
  <c r="J445" i="2"/>
  <c r="M439" i="2"/>
  <c r="L409" i="2"/>
  <c r="L408" i="2" s="1"/>
  <c r="J409" i="2"/>
  <c r="J408" i="2" s="1"/>
  <c r="J407" i="2"/>
  <c r="J405" i="2"/>
  <c r="D401" i="2"/>
  <c r="H400" i="2"/>
  <c r="G400" i="2"/>
  <c r="F400" i="2"/>
  <c r="D400" i="2"/>
  <c r="H399" i="2"/>
  <c r="G399" i="2"/>
  <c r="F399" i="2"/>
  <c r="D399" i="2"/>
  <c r="D398" i="2"/>
  <c r="G397" i="2"/>
  <c r="F397" i="2"/>
  <c r="E397" i="2"/>
  <c r="D397" i="2"/>
  <c r="D396" i="2"/>
  <c r="G395" i="2"/>
  <c r="F395" i="2"/>
  <c r="E395" i="2"/>
  <c r="D395" i="2"/>
  <c r="E104" i="6" l="1"/>
  <c r="G40" i="8"/>
  <c r="N33" i="1"/>
  <c r="D138" i="6"/>
  <c r="D204" i="8"/>
  <c r="O205" i="8"/>
  <c r="F10" i="8"/>
  <c r="H10" i="8"/>
  <c r="D221" i="8"/>
  <c r="O222" i="8"/>
  <c r="D211" i="8"/>
  <c r="D214" i="8"/>
  <c r="D207" i="8"/>
  <c r="G29" i="8"/>
  <c r="G98" i="8"/>
  <c r="D102" i="8"/>
  <c r="D99" i="8"/>
  <c r="G24" i="8"/>
  <c r="D90" i="8"/>
  <c r="D35" i="8"/>
  <c r="G79" i="7"/>
  <c r="Q79" i="7" s="1"/>
  <c r="Q80" i="7"/>
  <c r="D80" i="7"/>
  <c r="H143" i="6"/>
  <c r="H142" i="6" s="1"/>
  <c r="G62" i="5"/>
  <c r="D69" i="1"/>
  <c r="F69" i="1"/>
  <c r="D15" i="5"/>
  <c r="D14" i="5" s="1"/>
  <c r="D13" i="5" s="1"/>
  <c r="D36" i="5"/>
  <c r="C60" i="1" s="1"/>
  <c r="D40" i="5"/>
  <c r="D39" i="5" s="1"/>
  <c r="F22" i="5"/>
  <c r="F11" i="5" s="1"/>
  <c r="F10" i="5" s="1"/>
  <c r="H22" i="5"/>
  <c r="G11" i="5"/>
  <c r="G10" i="5" s="1"/>
  <c r="H35" i="5"/>
  <c r="H34" i="5" s="1"/>
  <c r="E13" i="5"/>
  <c r="E54" i="1"/>
  <c r="O530" i="2"/>
  <c r="F469" i="2"/>
  <c r="O437" i="2"/>
  <c r="O439" i="2"/>
  <c r="Q478" i="2"/>
  <c r="N440" i="2"/>
  <c r="O440" i="2" s="1"/>
  <c r="O441" i="2"/>
  <c r="D529" i="2"/>
  <c r="D528" i="2" s="1"/>
  <c r="K468" i="2"/>
  <c r="M468" i="2"/>
  <c r="P540" i="2"/>
  <c r="Q540" i="2" s="1"/>
  <c r="Q541" i="2"/>
  <c r="P552" i="2"/>
  <c r="Q552" i="2" s="1"/>
  <c r="Q553" i="2"/>
  <c r="N552" i="2"/>
  <c r="P487" i="2"/>
  <c r="Q487" i="2" s="1"/>
  <c r="Q488" i="2"/>
  <c r="N541" i="2"/>
  <c r="O542" i="2"/>
  <c r="P544" i="2"/>
  <c r="Q544" i="2" s="1"/>
  <c r="Q545" i="2"/>
  <c r="N545" i="2"/>
  <c r="O546" i="2"/>
  <c r="N548" i="2"/>
  <c r="D537" i="2"/>
  <c r="D536" i="2" s="1"/>
  <c r="O538" i="2"/>
  <c r="D553" i="2"/>
  <c r="D552" i="2" s="1"/>
  <c r="O554" i="2"/>
  <c r="O55" i="1"/>
  <c r="P55" i="1" s="1"/>
  <c r="Q475" i="2"/>
  <c r="P477" i="2"/>
  <c r="F12" i="7"/>
  <c r="H537" i="2"/>
  <c r="H536" i="2" s="1"/>
  <c r="F14" i="9"/>
  <c r="D21" i="9"/>
  <c r="D20" i="9" s="1"/>
  <c r="D19" i="9" s="1"/>
  <c r="F29" i="8"/>
  <c r="F23" i="8" s="1"/>
  <c r="F106" i="8"/>
  <c r="E218" i="8"/>
  <c r="G218" i="8"/>
  <c r="H12" i="7"/>
  <c r="F18" i="7"/>
  <c r="G39" i="7"/>
  <c r="F14" i="6"/>
  <c r="F13" i="6" s="1"/>
  <c r="F105" i="6"/>
  <c r="E51" i="1" s="1"/>
  <c r="E115" i="6"/>
  <c r="E114" i="6" s="1"/>
  <c r="E105" i="6" s="1"/>
  <c r="G105" i="6"/>
  <c r="E33" i="5"/>
  <c r="E31" i="5" s="1"/>
  <c r="G33" i="5"/>
  <c r="G31" i="5" s="1"/>
  <c r="H12" i="4"/>
  <c r="E13" i="3"/>
  <c r="F23" i="10"/>
  <c r="H23" i="10"/>
  <c r="E14" i="9"/>
  <c r="G14" i="9"/>
  <c r="D18" i="9"/>
  <c r="D17" i="9" s="1"/>
  <c r="F12" i="9"/>
  <c r="F11" i="9" s="1"/>
  <c r="E18" i="8"/>
  <c r="G229" i="8"/>
  <c r="G227" i="8" s="1"/>
  <c r="D248" i="8"/>
  <c r="D247" i="8" s="1"/>
  <c r="H18" i="7"/>
  <c r="F33" i="7"/>
  <c r="H33" i="7"/>
  <c r="E10" i="6"/>
  <c r="G10" i="6"/>
  <c r="D41" i="5"/>
  <c r="H41" i="5"/>
  <c r="D62" i="5"/>
  <c r="F12" i="10"/>
  <c r="F11" i="10" s="1"/>
  <c r="H12" i="10"/>
  <c r="H11" i="10" s="1"/>
  <c r="E14" i="10"/>
  <c r="H11" i="9"/>
  <c r="D98" i="8"/>
  <c r="F468" i="2"/>
  <c r="D14" i="9"/>
  <c r="D32" i="9"/>
  <c r="D70" i="1"/>
  <c r="E236" i="8"/>
  <c r="E235" i="8" s="1"/>
  <c r="F70" i="1"/>
  <c r="P70" i="1" s="1"/>
  <c r="G236" i="8"/>
  <c r="G235" i="8" s="1"/>
  <c r="D42" i="7"/>
  <c r="D39" i="7" s="1"/>
  <c r="D22" i="7"/>
  <c r="D21" i="7" s="1"/>
  <c r="D73" i="7"/>
  <c r="H73" i="7"/>
  <c r="F59" i="1"/>
  <c r="G13" i="4"/>
  <c r="G12" i="4" s="1"/>
  <c r="G469" i="2"/>
  <c r="E12" i="10"/>
  <c r="E11" i="10" s="1"/>
  <c r="G12" i="10"/>
  <c r="G11" i="10" s="1"/>
  <c r="D14" i="10"/>
  <c r="H21" i="9"/>
  <c r="H20" i="9" s="1"/>
  <c r="H19" i="9" s="1"/>
  <c r="D33" i="9"/>
  <c r="D35" i="9"/>
  <c r="E64" i="9"/>
  <c r="E62" i="9" s="1"/>
  <c r="E67" i="9"/>
  <c r="E70" i="9"/>
  <c r="E69" i="9" s="1"/>
  <c r="E14" i="8"/>
  <c r="E15" i="8"/>
  <c r="D19" i="8"/>
  <c r="C23" i="1" s="1"/>
  <c r="N23" i="1" s="1"/>
  <c r="H20" i="8"/>
  <c r="H22" i="8"/>
  <c r="H27" i="8"/>
  <c r="H24" i="8" s="1"/>
  <c r="H30" i="8"/>
  <c r="H29" i="8" s="1"/>
  <c r="E31" i="8"/>
  <c r="E29" i="8" s="1"/>
  <c r="E23" i="8" s="1"/>
  <c r="F67" i="8"/>
  <c r="H67" i="8"/>
  <c r="D77" i="8"/>
  <c r="E79" i="8"/>
  <c r="E83" i="8"/>
  <c r="E86" i="8"/>
  <c r="H107" i="8"/>
  <c r="H106" i="8" s="1"/>
  <c r="H112" i="8"/>
  <c r="H111" i="8" s="1"/>
  <c r="D114" i="8"/>
  <c r="H120" i="8"/>
  <c r="G122" i="8"/>
  <c r="D242" i="8"/>
  <c r="E241" i="8"/>
  <c r="E240" i="8"/>
  <c r="E229" i="8" s="1"/>
  <c r="E227" i="8" s="1"/>
  <c r="E234" i="8"/>
  <c r="D55" i="1" s="1"/>
  <c r="E14" i="7"/>
  <c r="E13" i="7" s="1"/>
  <c r="E12" i="7" s="1"/>
  <c r="D27" i="7"/>
  <c r="D24" i="7" s="1"/>
  <c r="D69" i="7"/>
  <c r="D68" i="7" s="1"/>
  <c r="E68" i="7"/>
  <c r="D72" i="7"/>
  <c r="D71" i="7" s="1"/>
  <c r="E71" i="7"/>
  <c r="G85" i="7"/>
  <c r="H108" i="6"/>
  <c r="H107" i="6" s="1"/>
  <c r="H106" i="6" s="1"/>
  <c r="D120" i="6"/>
  <c r="D119" i="6" s="1"/>
  <c r="D118" i="6" s="1"/>
  <c r="D105" i="6" s="1"/>
  <c r="E108" i="6"/>
  <c r="E107" i="6" s="1"/>
  <c r="E106" i="6" s="1"/>
  <c r="F104" i="6"/>
  <c r="F103" i="6" s="1"/>
  <c r="D131" i="6"/>
  <c r="D130" i="6" s="1"/>
  <c r="D104" i="6" s="1"/>
  <c r="H131" i="6"/>
  <c r="H130" i="6" s="1"/>
  <c r="H147" i="6"/>
  <c r="H146" i="6" s="1"/>
  <c r="E11" i="5"/>
  <c r="E10" i="5" s="1"/>
  <c r="G13" i="5"/>
  <c r="D28" i="5"/>
  <c r="D27" i="5" s="1"/>
  <c r="D20" i="5"/>
  <c r="D19" i="5" s="1"/>
  <c r="D18" i="5" s="1"/>
  <c r="D60" i="1"/>
  <c r="E35" i="5"/>
  <c r="E34" i="5" s="1"/>
  <c r="F60" i="1"/>
  <c r="G35" i="5"/>
  <c r="G34" i="5" s="1"/>
  <c r="D33" i="4"/>
  <c r="D32" i="4" s="1"/>
  <c r="D28" i="4" s="1"/>
  <c r="E20" i="4"/>
  <c r="E19" i="4" s="1"/>
  <c r="D50" i="4"/>
  <c r="D49" i="4" s="1"/>
  <c r="D48" i="4" s="1"/>
  <c r="E15" i="4"/>
  <c r="E13" i="4" s="1"/>
  <c r="E12" i="4" s="1"/>
  <c r="H10" i="4"/>
  <c r="H9" i="4" s="1"/>
  <c r="F10" i="4"/>
  <c r="F9" i="4" s="1"/>
  <c r="E69" i="1"/>
  <c r="G69" i="1"/>
  <c r="D45" i="7"/>
  <c r="G9" i="4"/>
  <c r="D67" i="4"/>
  <c r="D66" i="4" s="1"/>
  <c r="D65" i="4" s="1"/>
  <c r="D10" i="4" s="1"/>
  <c r="D29" i="10"/>
  <c r="D28" i="10" s="1"/>
  <c r="D21" i="10"/>
  <c r="D20" i="10" s="1"/>
  <c r="D19" i="10" s="1"/>
  <c r="D109" i="8"/>
  <c r="D22" i="8"/>
  <c r="F11" i="8"/>
  <c r="D11" i="5"/>
  <c r="D10" i="5" s="1"/>
  <c r="H11" i="5"/>
  <c r="H10" i="5" s="1"/>
  <c r="F14" i="10"/>
  <c r="H14" i="10"/>
  <c r="D75" i="8"/>
  <c r="D74" i="8" s="1"/>
  <c r="D49" i="5"/>
  <c r="D48" i="5" s="1"/>
  <c r="D33" i="5" s="1"/>
  <c r="D31" i="5" s="1"/>
  <c r="D38" i="5"/>
  <c r="D35" i="4"/>
  <c r="D34" i="4" s="1"/>
  <c r="D26" i="4"/>
  <c r="D14" i="4"/>
  <c r="D473" i="2"/>
  <c r="C59" i="1"/>
  <c r="D23" i="10"/>
  <c r="D52" i="9"/>
  <c r="G18" i="8"/>
  <c r="G12" i="8" s="1"/>
  <c r="E58" i="8"/>
  <c r="E231" i="8"/>
  <c r="E230" i="8" s="1"/>
  <c r="D61" i="1"/>
  <c r="G231" i="8"/>
  <c r="G230" i="8" s="1"/>
  <c r="F61" i="1"/>
  <c r="P61" i="1" s="1"/>
  <c r="E56" i="1"/>
  <c r="G56" i="1"/>
  <c r="E57" i="1"/>
  <c r="G57" i="1"/>
  <c r="E63" i="1"/>
  <c r="G63" i="1"/>
  <c r="D66" i="1"/>
  <c r="F66" i="1"/>
  <c r="E67" i="1"/>
  <c r="G67" i="1"/>
  <c r="E72" i="1"/>
  <c r="G72" i="1"/>
  <c r="D38" i="4"/>
  <c r="J463" i="2"/>
  <c r="F51" i="1"/>
  <c r="J509" i="2"/>
  <c r="J508" i="2" s="1"/>
  <c r="N510" i="2"/>
  <c r="H541" i="2"/>
  <c r="H540" i="2" s="1"/>
  <c r="H468" i="2" s="1"/>
  <c r="E74" i="1"/>
  <c r="E12" i="9"/>
  <c r="E11" i="9" s="1"/>
  <c r="G12" i="9"/>
  <c r="G11" i="9" s="1"/>
  <c r="D62" i="9"/>
  <c r="H18" i="8"/>
  <c r="H12" i="8" s="1"/>
  <c r="E11" i="8"/>
  <c r="E54" i="8"/>
  <c r="D54" i="8"/>
  <c r="E75" i="8"/>
  <c r="E74" i="8" s="1"/>
  <c r="G75" i="8"/>
  <c r="G74" i="8" s="1"/>
  <c r="G10" i="8" s="1"/>
  <c r="D83" i="8"/>
  <c r="D82" i="8" s="1"/>
  <c r="H118" i="8"/>
  <c r="H117" i="8" s="1"/>
  <c r="E57" i="7"/>
  <c r="E56" i="7" s="1"/>
  <c r="E103" i="6"/>
  <c r="G103" i="6"/>
  <c r="D56" i="1"/>
  <c r="F56" i="1"/>
  <c r="D57" i="1"/>
  <c r="F57" i="1"/>
  <c r="D63" i="1"/>
  <c r="F63" i="1"/>
  <c r="C66" i="1"/>
  <c r="E66" i="1"/>
  <c r="G66" i="1"/>
  <c r="G75" i="1" s="1"/>
  <c r="F67" i="1"/>
  <c r="D72" i="1"/>
  <c r="F72" i="1"/>
  <c r="E35" i="4"/>
  <c r="E34" i="4" s="1"/>
  <c r="E66" i="4"/>
  <c r="E65" i="4" s="1"/>
  <c r="E10" i="4" s="1"/>
  <c r="E9" i="4" s="1"/>
  <c r="D22" i="4"/>
  <c r="D57" i="4"/>
  <c r="D56" i="4"/>
  <c r="D218" i="8"/>
  <c r="G11" i="8"/>
  <c r="D61" i="8"/>
  <c r="F9" i="8"/>
  <c r="F9" i="3"/>
  <c r="D13" i="3"/>
  <c r="F13" i="3"/>
  <c r="H13" i="3"/>
  <c r="H12" i="3" s="1"/>
  <c r="F16" i="3"/>
  <c r="E16" i="3"/>
  <c r="E12" i="3" s="1"/>
  <c r="G16" i="3"/>
  <c r="G12" i="3" s="1"/>
  <c r="E19" i="3"/>
  <c r="E18" i="3" s="1"/>
  <c r="D19" i="3"/>
  <c r="F19" i="3"/>
  <c r="H19" i="3"/>
  <c r="F21" i="3"/>
  <c r="H21" i="3"/>
  <c r="H9" i="3"/>
  <c r="D494" i="2"/>
  <c r="E472" i="2"/>
  <c r="D54" i="1" s="1"/>
  <c r="D502" i="2"/>
  <c r="D501" i="2" s="1"/>
  <c r="D500" i="2" s="1"/>
  <c r="E479" i="2"/>
  <c r="D67" i="1" s="1"/>
  <c r="D75" i="1" s="1"/>
  <c r="M472" i="2"/>
  <c r="H472" i="2"/>
  <c r="G54" i="1" s="1"/>
  <c r="G74" i="1" s="1"/>
  <c r="F467" i="2"/>
  <c r="D499" i="2"/>
  <c r="D474" i="2" s="1"/>
  <c r="C58" i="1" s="1"/>
  <c r="E474" i="2"/>
  <c r="D58" i="1" s="1"/>
  <c r="J468" i="2"/>
  <c r="E468" i="2"/>
  <c r="L549" i="2"/>
  <c r="L548" i="2" s="1"/>
  <c r="L472" i="2"/>
  <c r="D550" i="2"/>
  <c r="D549" i="2" s="1"/>
  <c r="D548" i="2" s="1"/>
  <c r="D468" i="2" s="1"/>
  <c r="G472" i="2"/>
  <c r="F54" i="1" s="1"/>
  <c r="L477" i="2"/>
  <c r="L476" i="2" s="1"/>
  <c r="H477" i="2"/>
  <c r="H476" i="2" s="1"/>
  <c r="F477" i="2"/>
  <c r="F476" i="2" s="1"/>
  <c r="M477" i="2"/>
  <c r="M476" i="2" s="1"/>
  <c r="K477" i="2"/>
  <c r="K476" i="2" s="1"/>
  <c r="G477" i="2"/>
  <c r="G476" i="2" s="1"/>
  <c r="E477" i="2"/>
  <c r="E476" i="2" s="1"/>
  <c r="D17" i="3"/>
  <c r="D10" i="3"/>
  <c r="D11" i="4"/>
  <c r="D16" i="4"/>
  <c r="D20" i="4"/>
  <c r="D15" i="4"/>
  <c r="D108" i="6"/>
  <c r="D107" i="6" s="1"/>
  <c r="D106" i="6" s="1"/>
  <c r="D21" i="6"/>
  <c r="D20" i="6" s="1"/>
  <c r="D11" i="6"/>
  <c r="D10" i="6" s="1"/>
  <c r="D18" i="6"/>
  <c r="D17" i="6" s="1"/>
  <c r="D13" i="6" s="1"/>
  <c r="D23" i="6"/>
  <c r="D22" i="6" s="1"/>
  <c r="D20" i="7"/>
  <c r="D51" i="7"/>
  <c r="D50" i="7" s="1"/>
  <c r="D34" i="7"/>
  <c r="D33" i="7" s="1"/>
  <c r="D15" i="7"/>
  <c r="D11" i="7"/>
  <c r="D9" i="7" s="1"/>
  <c r="D244" i="8"/>
  <c r="D243" i="8" s="1"/>
  <c r="D238" i="8"/>
  <c r="D236" i="8" s="1"/>
  <c r="D235" i="8" s="1"/>
  <c r="D44" i="8"/>
  <c r="D30" i="8"/>
  <c r="D112" i="8"/>
  <c r="D27" i="8"/>
  <c r="D21" i="8"/>
  <c r="D10" i="8"/>
  <c r="D14" i="8"/>
  <c r="D38" i="8"/>
  <c r="D34" i="8" s="1"/>
  <c r="D20" i="8"/>
  <c r="D25" i="8"/>
  <c r="D41" i="8"/>
  <c r="D40" i="8" s="1"/>
  <c r="D49" i="8"/>
  <c r="D48" i="8" s="1"/>
  <c r="D15" i="8"/>
  <c r="D107" i="8"/>
  <c r="D106" i="8" s="1"/>
  <c r="D17" i="8"/>
  <c r="D117" i="8"/>
  <c r="D122" i="8"/>
  <c r="D26" i="8"/>
  <c r="E44" i="8"/>
  <c r="E40" i="8" s="1"/>
  <c r="D23" i="9"/>
  <c r="P548" i="2"/>
  <c r="R550" i="2"/>
  <c r="I550" i="2"/>
  <c r="I549" i="2" s="1"/>
  <c r="I548" i="2" s="1"/>
  <c r="R537" i="2"/>
  <c r="P536" i="2"/>
  <c r="N537" i="2"/>
  <c r="L544" i="2"/>
  <c r="L553" i="2"/>
  <c r="L552" i="2" s="1"/>
  <c r="G549" i="2"/>
  <c r="G548" i="2" s="1"/>
  <c r="G468" i="2" s="1"/>
  <c r="I544" i="2"/>
  <c r="R545" i="2"/>
  <c r="R541" i="2"/>
  <c r="R544" i="2"/>
  <c r="R540" i="2"/>
  <c r="D517" i="2"/>
  <c r="D516" i="2" s="1"/>
  <c r="E529" i="2"/>
  <c r="E528" i="2" s="1"/>
  <c r="D510" i="2"/>
  <c r="D509" i="2" s="1"/>
  <c r="D508" i="2" s="1"/>
  <c r="D497" i="2"/>
  <c r="D496" i="2" s="1"/>
  <c r="D482" i="2"/>
  <c r="D483" i="2"/>
  <c r="D488" i="2"/>
  <c r="E497" i="2"/>
  <c r="E496" i="2" s="1"/>
  <c r="E509" i="2"/>
  <c r="E508" i="2" s="1"/>
  <c r="H505" i="2"/>
  <c r="H504" i="2" s="1"/>
  <c r="H469" i="2" s="1"/>
  <c r="D505" i="2"/>
  <c r="D504" i="2"/>
  <c r="G458" i="2"/>
  <c r="F458" i="2"/>
  <c r="H458" i="2"/>
  <c r="E487" i="2"/>
  <c r="D487" i="2" s="1"/>
  <c r="D493" i="2"/>
  <c r="D492" i="2"/>
  <c r="E459" i="2"/>
  <c r="D461" i="2"/>
  <c r="G394" i="2"/>
  <c r="E394" i="2"/>
  <c r="H436" i="2"/>
  <c r="H435" i="2" s="1"/>
  <c r="D436" i="2"/>
  <c r="D435" i="2" s="1"/>
  <c r="D445" i="2"/>
  <c r="D443" i="2" s="1"/>
  <c r="D442" i="2" s="1"/>
  <c r="D394" i="2"/>
  <c r="F394" i="2"/>
  <c r="E443" i="2"/>
  <c r="E442" i="2" s="1"/>
  <c r="N436" i="2"/>
  <c r="J395" i="2"/>
  <c r="K400" i="2"/>
  <c r="K399" i="2" s="1"/>
  <c r="J397" i="2"/>
  <c r="D392" i="2"/>
  <c r="D391" i="2" s="1"/>
  <c r="D390" i="2" s="1"/>
  <c r="H391" i="2"/>
  <c r="G391" i="2"/>
  <c r="G390" i="2" s="1"/>
  <c r="F391" i="2"/>
  <c r="F390" i="2" s="1"/>
  <c r="E391" i="2"/>
  <c r="H390" i="2"/>
  <c r="E390" i="2"/>
  <c r="E389" i="2"/>
  <c r="D389" i="2" s="1"/>
  <c r="D388" i="2" s="1"/>
  <c r="G388" i="2"/>
  <c r="F388" i="2"/>
  <c r="E387" i="2"/>
  <c r="D387" i="2" s="1"/>
  <c r="D386" i="2" s="1"/>
  <c r="G386" i="2"/>
  <c r="F386" i="2"/>
  <c r="N392" i="2"/>
  <c r="L391" i="2"/>
  <c r="K391" i="2"/>
  <c r="L390" i="2"/>
  <c r="K390" i="2"/>
  <c r="J389" i="2"/>
  <c r="J387" i="2"/>
  <c r="D365" i="2"/>
  <c r="D364" i="2" s="1"/>
  <c r="D363" i="2" s="1"/>
  <c r="H364" i="2"/>
  <c r="H363" i="2" s="1"/>
  <c r="G364" i="2"/>
  <c r="G363" i="2" s="1"/>
  <c r="F364" i="2"/>
  <c r="F363" i="2" s="1"/>
  <c r="E364" i="2"/>
  <c r="E363" i="2" s="1"/>
  <c r="D362" i="2"/>
  <c r="D361" i="2" s="1"/>
  <c r="D360" i="2" s="1"/>
  <c r="H361" i="2"/>
  <c r="G361" i="2"/>
  <c r="G360" i="2" s="1"/>
  <c r="F361" i="2"/>
  <c r="F360" i="2" s="1"/>
  <c r="E361" i="2"/>
  <c r="E360" i="2" s="1"/>
  <c r="H360" i="2"/>
  <c r="N362" i="2"/>
  <c r="R365" i="2"/>
  <c r="N365" i="2"/>
  <c r="P364" i="2"/>
  <c r="Q364" i="2" s="1"/>
  <c r="N364" i="2"/>
  <c r="P363" i="2"/>
  <c r="Q363" i="2" s="1"/>
  <c r="N363" i="2"/>
  <c r="R362" i="2"/>
  <c r="P361" i="2"/>
  <c r="Q361" i="2" s="1"/>
  <c r="M364" i="2"/>
  <c r="L364" i="2"/>
  <c r="M363" i="2"/>
  <c r="L363" i="2"/>
  <c r="E358" i="2"/>
  <c r="D358" i="2" s="1"/>
  <c r="D357" i="2" s="1"/>
  <c r="H357" i="2"/>
  <c r="G357" i="2"/>
  <c r="F357" i="2"/>
  <c r="D356" i="2"/>
  <c r="D355" i="2" s="1"/>
  <c r="H355" i="2"/>
  <c r="G355" i="2"/>
  <c r="G354" i="2" s="1"/>
  <c r="F355" i="2"/>
  <c r="F354" i="2" s="1"/>
  <c r="E355" i="2"/>
  <c r="H354" i="2"/>
  <c r="E353" i="2"/>
  <c r="D353" i="2" s="1"/>
  <c r="D352" i="2" s="1"/>
  <c r="H352" i="2"/>
  <c r="G352" i="2"/>
  <c r="F352" i="2"/>
  <c r="D351" i="2"/>
  <c r="E350" i="2"/>
  <c r="D350" i="2" s="1"/>
  <c r="H349" i="2"/>
  <c r="G349" i="2"/>
  <c r="F349" i="2"/>
  <c r="E349" i="2"/>
  <c r="J358" i="2"/>
  <c r="J355" i="2"/>
  <c r="J350" i="2"/>
  <c r="D346" i="2"/>
  <c r="D345" i="2" s="1"/>
  <c r="D344" i="2" s="1"/>
  <c r="H345" i="2"/>
  <c r="H344" i="2" s="1"/>
  <c r="G345" i="2"/>
  <c r="G344" i="2" s="1"/>
  <c r="F345" i="2"/>
  <c r="E345" i="2"/>
  <c r="F344" i="2"/>
  <c r="E344" i="2"/>
  <c r="E343" i="2"/>
  <c r="D343" i="2" s="1"/>
  <c r="D342" i="2" s="1"/>
  <c r="H342" i="2"/>
  <c r="G342" i="2"/>
  <c r="F342" i="2"/>
  <c r="E342" i="2"/>
  <c r="E341" i="2"/>
  <c r="D341" i="2" s="1"/>
  <c r="D340" i="2" s="1"/>
  <c r="H340" i="2"/>
  <c r="G340" i="2"/>
  <c r="F340" i="2"/>
  <c r="E340" i="2"/>
  <c r="J345" i="2"/>
  <c r="J344" i="2" s="1"/>
  <c r="J343" i="2"/>
  <c r="J341" i="2"/>
  <c r="D337" i="2"/>
  <c r="D336" i="2" s="1"/>
  <c r="D335" i="2" s="1"/>
  <c r="H336" i="2"/>
  <c r="G336" i="2"/>
  <c r="G335" i="2" s="1"/>
  <c r="F336" i="2"/>
  <c r="F335" i="2" s="1"/>
  <c r="E336" i="2"/>
  <c r="E335" i="2" s="1"/>
  <c r="H335" i="2"/>
  <c r="E334" i="2"/>
  <c r="D334" i="2" s="1"/>
  <c r="D333" i="2" s="1"/>
  <c r="H333" i="2"/>
  <c r="G333" i="2"/>
  <c r="F333" i="2"/>
  <c r="E333" i="2"/>
  <c r="E332" i="2"/>
  <c r="D332" i="2" s="1"/>
  <c r="D331" i="2" s="1"/>
  <c r="H331" i="2"/>
  <c r="G331" i="2"/>
  <c r="F331" i="2"/>
  <c r="E331" i="2"/>
  <c r="J336" i="2"/>
  <c r="J335" i="2" s="1"/>
  <c r="J334" i="2"/>
  <c r="J332" i="2"/>
  <c r="D328" i="2"/>
  <c r="H327" i="2"/>
  <c r="G327" i="2"/>
  <c r="F327" i="2"/>
  <c r="D327" i="2"/>
  <c r="H326" i="2"/>
  <c r="G326" i="2"/>
  <c r="F326" i="2"/>
  <c r="D326" i="2"/>
  <c r="F325" i="2"/>
  <c r="D325" i="2" s="1"/>
  <c r="D324" i="2" s="1"/>
  <c r="H324" i="2"/>
  <c r="G324" i="2"/>
  <c r="D323" i="2"/>
  <c r="H322" i="2"/>
  <c r="G322" i="2"/>
  <c r="F322" i="2"/>
  <c r="D322" i="2"/>
  <c r="K322" i="2"/>
  <c r="D319" i="2"/>
  <c r="H318" i="2"/>
  <c r="H317" i="2" s="1"/>
  <c r="G318" i="2"/>
  <c r="G317" i="2" s="1"/>
  <c r="F318" i="2"/>
  <c r="F317" i="2" s="1"/>
  <c r="D318" i="2"/>
  <c r="D317" i="2"/>
  <c r="D316" i="2"/>
  <c r="D315" i="2" s="1"/>
  <c r="H315" i="2"/>
  <c r="G315" i="2"/>
  <c r="F315" i="2"/>
  <c r="E315" i="2"/>
  <c r="E314" i="2"/>
  <c r="D314" i="2" s="1"/>
  <c r="D313" i="2" s="1"/>
  <c r="H313" i="2"/>
  <c r="G313" i="2"/>
  <c r="F313" i="2"/>
  <c r="E313" i="2"/>
  <c r="J314" i="2"/>
  <c r="D310" i="2"/>
  <c r="H309" i="2"/>
  <c r="G309" i="2"/>
  <c r="F309" i="2"/>
  <c r="D309" i="2"/>
  <c r="D308" i="2" s="1"/>
  <c r="H308" i="2"/>
  <c r="G308" i="2"/>
  <c r="F308" i="2"/>
  <c r="E308" i="2"/>
  <c r="D307" i="2"/>
  <c r="D306" i="2" s="1"/>
  <c r="H306" i="2"/>
  <c r="G306" i="2"/>
  <c r="F306" i="2"/>
  <c r="E306" i="2"/>
  <c r="E305" i="2"/>
  <c r="D305" i="2" s="1"/>
  <c r="D304" i="2" s="1"/>
  <c r="H304" i="2"/>
  <c r="G304" i="2"/>
  <c r="F304" i="2"/>
  <c r="E304" i="2"/>
  <c r="J305" i="2"/>
  <c r="D301" i="2"/>
  <c r="H300" i="2"/>
  <c r="G300" i="2"/>
  <c r="F300" i="2"/>
  <c r="D300" i="2"/>
  <c r="H299" i="2"/>
  <c r="G299" i="2"/>
  <c r="F299" i="2"/>
  <c r="D299" i="2"/>
  <c r="E298" i="2"/>
  <c r="D298" i="2" s="1"/>
  <c r="D297" i="2" s="1"/>
  <c r="H297" i="2"/>
  <c r="G297" i="2"/>
  <c r="F297" i="2"/>
  <c r="E297" i="2"/>
  <c r="D296" i="2"/>
  <c r="D295" i="2" s="1"/>
  <c r="H295" i="2"/>
  <c r="G295" i="2"/>
  <c r="F295" i="2"/>
  <c r="E295" i="2"/>
  <c r="J298" i="2"/>
  <c r="D292" i="2"/>
  <c r="H291" i="2"/>
  <c r="G291" i="2"/>
  <c r="F291" i="2"/>
  <c r="D291" i="2"/>
  <c r="H290" i="2"/>
  <c r="G290" i="2"/>
  <c r="F290" i="2"/>
  <c r="D290" i="2"/>
  <c r="D289" i="2"/>
  <c r="D288" i="2" s="1"/>
  <c r="H288" i="2"/>
  <c r="G288" i="2"/>
  <c r="F288" i="2"/>
  <c r="E288" i="2"/>
  <c r="E287" i="2"/>
  <c r="D287" i="2" s="1"/>
  <c r="D286" i="2" s="1"/>
  <c r="H286" i="2"/>
  <c r="G286" i="2"/>
  <c r="F286" i="2"/>
  <c r="E286" i="2"/>
  <c r="J287" i="2"/>
  <c r="D283" i="2"/>
  <c r="H282" i="2"/>
  <c r="G282" i="2"/>
  <c r="F282" i="2"/>
  <c r="D282" i="2"/>
  <c r="H281" i="2"/>
  <c r="G281" i="2"/>
  <c r="F281" i="2"/>
  <c r="D281" i="2"/>
  <c r="E280" i="2"/>
  <c r="D280" i="2" s="1"/>
  <c r="D279" i="2" s="1"/>
  <c r="H279" i="2"/>
  <c r="G279" i="2"/>
  <c r="F279" i="2"/>
  <c r="E278" i="2"/>
  <c r="D278" i="2" s="1"/>
  <c r="D277" i="2" s="1"/>
  <c r="H277" i="2"/>
  <c r="G277" i="2"/>
  <c r="G276" i="2" s="1"/>
  <c r="F277" i="2"/>
  <c r="E277" i="2"/>
  <c r="J280" i="2"/>
  <c r="J278" i="2"/>
  <c r="D274" i="2"/>
  <c r="H273" i="2"/>
  <c r="G273" i="2"/>
  <c r="F273" i="2"/>
  <c r="D273" i="2"/>
  <c r="H272" i="2"/>
  <c r="G272" i="2"/>
  <c r="F272" i="2"/>
  <c r="D272" i="2"/>
  <c r="E271" i="2"/>
  <c r="D271" i="2" s="1"/>
  <c r="D270" i="2" s="1"/>
  <c r="H270" i="2"/>
  <c r="G270" i="2"/>
  <c r="F270" i="2"/>
  <c r="E270" i="2"/>
  <c r="E269" i="2"/>
  <c r="D269" i="2" s="1"/>
  <c r="D268" i="2" s="1"/>
  <c r="H268" i="2"/>
  <c r="G268" i="2"/>
  <c r="F268" i="2"/>
  <c r="E268" i="2"/>
  <c r="L273" i="2"/>
  <c r="L272" i="2" s="1"/>
  <c r="J271" i="2"/>
  <c r="J269" i="2"/>
  <c r="D265" i="2"/>
  <c r="H264" i="2"/>
  <c r="G264" i="2"/>
  <c r="F264" i="2"/>
  <c r="D264" i="2"/>
  <c r="D263" i="2" s="1"/>
  <c r="H263" i="2"/>
  <c r="G263" i="2"/>
  <c r="F263" i="2"/>
  <c r="E262" i="2"/>
  <c r="D262" i="2" s="1"/>
  <c r="D261" i="2" s="1"/>
  <c r="H261" i="2"/>
  <c r="G261" i="2"/>
  <c r="F261" i="2"/>
  <c r="D260" i="2"/>
  <c r="D259" i="2" s="1"/>
  <c r="H259" i="2"/>
  <c r="G259" i="2"/>
  <c r="F259" i="2"/>
  <c r="E259" i="2"/>
  <c r="H258" i="2"/>
  <c r="G258" i="2"/>
  <c r="F258" i="2"/>
  <c r="N265" i="2"/>
  <c r="O265" i="2" s="1"/>
  <c r="P264" i="2"/>
  <c r="Q264" i="2" s="1"/>
  <c r="N264" i="2"/>
  <c r="O264" i="2" s="1"/>
  <c r="P263" i="2"/>
  <c r="Q263" i="2" s="1"/>
  <c r="N263" i="2"/>
  <c r="O263" i="2" s="1"/>
  <c r="L264" i="2"/>
  <c r="L263" i="2" s="1"/>
  <c r="J262" i="2"/>
  <c r="D256" i="2"/>
  <c r="H255" i="2"/>
  <c r="G255" i="2"/>
  <c r="F255" i="2"/>
  <c r="D255" i="2"/>
  <c r="D254" i="2"/>
  <c r="D253" i="2" s="1"/>
  <c r="H253" i="2"/>
  <c r="G253" i="2"/>
  <c r="F253" i="2"/>
  <c r="E253" i="2"/>
  <c r="E252" i="2" s="1"/>
  <c r="E251" i="2"/>
  <c r="D251" i="2" s="1"/>
  <c r="D250" i="2" s="1"/>
  <c r="H250" i="2"/>
  <c r="G250" i="2"/>
  <c r="F250" i="2"/>
  <c r="D249" i="2"/>
  <c r="D248" i="2"/>
  <c r="H247" i="2"/>
  <c r="G247" i="2"/>
  <c r="F247" i="2"/>
  <c r="E247" i="2"/>
  <c r="J253" i="2"/>
  <c r="J252" i="2" s="1"/>
  <c r="J251" i="2"/>
  <c r="N244" i="2"/>
  <c r="D244" i="2"/>
  <c r="D243" i="2" s="1"/>
  <c r="D242" i="2" s="1"/>
  <c r="H243" i="2"/>
  <c r="H242" i="2" s="1"/>
  <c r="G243" i="2"/>
  <c r="G242" i="2" s="1"/>
  <c r="F243" i="2"/>
  <c r="F242" i="2" s="1"/>
  <c r="E243" i="2"/>
  <c r="E242" i="2" s="1"/>
  <c r="D241" i="2"/>
  <c r="D240" i="2" s="1"/>
  <c r="H240" i="2"/>
  <c r="G240" i="2"/>
  <c r="F240" i="2"/>
  <c r="E240" i="2"/>
  <c r="D239" i="2"/>
  <c r="D238" i="2" s="1"/>
  <c r="H238" i="2"/>
  <c r="G238" i="2"/>
  <c r="F238" i="2"/>
  <c r="E238" i="2"/>
  <c r="L243" i="2"/>
  <c r="L242" i="2" s="1"/>
  <c r="J240" i="2"/>
  <c r="J238" i="2"/>
  <c r="J237" i="2"/>
  <c r="E235" i="2"/>
  <c r="D235" i="2" s="1"/>
  <c r="D234" i="2" s="1"/>
  <c r="H234" i="2"/>
  <c r="G234" i="2"/>
  <c r="G231" i="2" s="1"/>
  <c r="F234" i="2"/>
  <c r="E234" i="2"/>
  <c r="D233" i="2"/>
  <c r="H232" i="2"/>
  <c r="F232" i="2"/>
  <c r="F231" i="2" s="1"/>
  <c r="E232" i="2"/>
  <c r="D232" i="2"/>
  <c r="E230" i="2"/>
  <c r="D230" i="2" s="1"/>
  <c r="D229" i="2" s="1"/>
  <c r="H229" i="2"/>
  <c r="G229" i="2"/>
  <c r="F229" i="2"/>
  <c r="D228" i="2"/>
  <c r="E227" i="2"/>
  <c r="D227" i="2" s="1"/>
  <c r="H226" i="2"/>
  <c r="G226" i="2"/>
  <c r="F226" i="2"/>
  <c r="K234" i="2"/>
  <c r="J235" i="2"/>
  <c r="J232" i="2"/>
  <c r="J230" i="2"/>
  <c r="J227" i="2"/>
  <c r="D223" i="2"/>
  <c r="H222" i="2"/>
  <c r="G222" i="2"/>
  <c r="G221" i="2" s="1"/>
  <c r="F222" i="2"/>
  <c r="F221" i="2" s="1"/>
  <c r="E222" i="2"/>
  <c r="E221" i="2" s="1"/>
  <c r="H221" i="2"/>
  <c r="E220" i="2"/>
  <c r="D220" i="2" s="1"/>
  <c r="D219" i="2" s="1"/>
  <c r="H219" i="2"/>
  <c r="G219" i="2"/>
  <c r="F219" i="2"/>
  <c r="D218" i="2"/>
  <c r="D217" i="2" s="1"/>
  <c r="H217" i="2"/>
  <c r="G217" i="2"/>
  <c r="F217" i="2"/>
  <c r="F216" i="2" s="1"/>
  <c r="E217" i="2"/>
  <c r="H216" i="2"/>
  <c r="J220" i="2"/>
  <c r="D214" i="2"/>
  <c r="D213" i="2" s="1"/>
  <c r="H213" i="2"/>
  <c r="G213" i="2"/>
  <c r="F213" i="2"/>
  <c r="E213" i="2"/>
  <c r="D212" i="2"/>
  <c r="D211" i="2" s="1"/>
  <c r="H211" i="2"/>
  <c r="G211" i="2"/>
  <c r="F211" i="2"/>
  <c r="E211" i="2"/>
  <c r="E209" i="2"/>
  <c r="D209" i="2" s="1"/>
  <c r="D208" i="2" s="1"/>
  <c r="H208" i="2"/>
  <c r="G208" i="2"/>
  <c r="F208" i="2"/>
  <c r="D207" i="2"/>
  <c r="E206" i="2"/>
  <c r="D206" i="2" s="1"/>
  <c r="H205" i="2"/>
  <c r="G205" i="2"/>
  <c r="F205" i="2"/>
  <c r="J213" i="2"/>
  <c r="J211" i="2"/>
  <c r="J209" i="2"/>
  <c r="J206" i="2"/>
  <c r="E202" i="2"/>
  <c r="D202" i="2" s="1"/>
  <c r="D201" i="2" s="1"/>
  <c r="H201" i="2"/>
  <c r="G201" i="2"/>
  <c r="F201" i="2"/>
  <c r="E200" i="2"/>
  <c r="D200" i="2" s="1"/>
  <c r="D199" i="2" s="1"/>
  <c r="H199" i="2"/>
  <c r="H198" i="2" s="1"/>
  <c r="G199" i="2"/>
  <c r="G198" i="2" s="1"/>
  <c r="F199" i="2"/>
  <c r="F198" i="2" s="1"/>
  <c r="E197" i="2"/>
  <c r="D197" i="2" s="1"/>
  <c r="D196" i="2" s="1"/>
  <c r="H196" i="2"/>
  <c r="G196" i="2"/>
  <c r="F196" i="2"/>
  <c r="E195" i="2"/>
  <c r="D195" i="2" s="1"/>
  <c r="E194" i="2"/>
  <c r="D194" i="2" s="1"/>
  <c r="H193" i="2"/>
  <c r="G193" i="2"/>
  <c r="F193" i="2"/>
  <c r="J202" i="2"/>
  <c r="J197" i="2"/>
  <c r="J194" i="2"/>
  <c r="E190" i="2"/>
  <c r="D190" i="2" s="1"/>
  <c r="D189" i="2" s="1"/>
  <c r="D188" i="2" s="1"/>
  <c r="H189" i="2"/>
  <c r="G189" i="2"/>
  <c r="F189" i="2"/>
  <c r="E189" i="2"/>
  <c r="H188" i="2"/>
  <c r="G188" i="2"/>
  <c r="F188" i="2"/>
  <c r="E188" i="2"/>
  <c r="E187" i="2"/>
  <c r="D187" i="2" s="1"/>
  <c r="D186" i="2" s="1"/>
  <c r="H186" i="2"/>
  <c r="G186" i="2"/>
  <c r="F186" i="2"/>
  <c r="E185" i="2"/>
  <c r="D185" i="2" s="1"/>
  <c r="D184" i="2" s="1"/>
  <c r="H184" i="2"/>
  <c r="G184" i="2"/>
  <c r="F184" i="2"/>
  <c r="J190" i="2"/>
  <c r="J187" i="2"/>
  <c r="J185" i="2"/>
  <c r="D181" i="2"/>
  <c r="D180" i="2" s="1"/>
  <c r="D179" i="2" s="1"/>
  <c r="H180" i="2"/>
  <c r="H179" i="2" s="1"/>
  <c r="G180" i="2"/>
  <c r="G179" i="2" s="1"/>
  <c r="F180" i="2"/>
  <c r="F179" i="2" s="1"/>
  <c r="E180" i="2"/>
  <c r="E179" i="2" s="1"/>
  <c r="E178" i="2"/>
  <c r="D178" i="2" s="1"/>
  <c r="D177" i="2" s="1"/>
  <c r="H177" i="2"/>
  <c r="G177" i="2"/>
  <c r="F177" i="2"/>
  <c r="E177" i="2"/>
  <c r="E176" i="2"/>
  <c r="D176" i="2" s="1"/>
  <c r="D175" i="2" s="1"/>
  <c r="H175" i="2"/>
  <c r="G175" i="2"/>
  <c r="F175" i="2"/>
  <c r="D210" i="8" l="1"/>
  <c r="D203" i="8"/>
  <c r="D29" i="8"/>
  <c r="G23" i="8"/>
  <c r="G9" i="8"/>
  <c r="D79" i="7"/>
  <c r="O79" i="7" s="1"/>
  <c r="O80" i="7"/>
  <c r="D35" i="5"/>
  <c r="D34" i="5" s="1"/>
  <c r="O363" i="2"/>
  <c r="O364" i="2"/>
  <c r="O365" i="2"/>
  <c r="O392" i="2"/>
  <c r="R549" i="2"/>
  <c r="D222" i="2"/>
  <c r="D221" i="2" s="1"/>
  <c r="O223" i="2"/>
  <c r="N243" i="2"/>
  <c r="O243" i="2" s="1"/>
  <c r="O244" i="2"/>
  <c r="N435" i="2"/>
  <c r="O435" i="2" s="1"/>
  <c r="O436" i="2"/>
  <c r="O510" i="2"/>
  <c r="O550" i="2"/>
  <c r="O548" i="2"/>
  <c r="N544" i="2"/>
  <c r="O544" i="2" s="1"/>
  <c r="O545" i="2"/>
  <c r="N540" i="2"/>
  <c r="O540" i="2" s="1"/>
  <c r="O541" i="2"/>
  <c r="O553" i="2"/>
  <c r="Q549" i="2"/>
  <c r="R536" i="2"/>
  <c r="Q536" i="2"/>
  <c r="R548" i="2"/>
  <c r="Q548" i="2"/>
  <c r="O549" i="2"/>
  <c r="Q472" i="2"/>
  <c r="O552" i="2"/>
  <c r="F74" i="1"/>
  <c r="N536" i="2"/>
  <c r="O537" i="2"/>
  <c r="N361" i="2"/>
  <c r="O361" i="2" s="1"/>
  <c r="O362" i="2"/>
  <c r="P360" i="2"/>
  <c r="Q360" i="2" s="1"/>
  <c r="P476" i="2"/>
  <c r="Q476" i="2" s="1"/>
  <c r="Q477" i="2"/>
  <c r="E469" i="2"/>
  <c r="D51" i="1" s="1"/>
  <c r="H104" i="6"/>
  <c r="H103" i="6" s="1"/>
  <c r="D103" i="6"/>
  <c r="E75" i="1"/>
  <c r="H23" i="8"/>
  <c r="F75" i="1"/>
  <c r="D67" i="7"/>
  <c r="D14" i="7"/>
  <c r="D13" i="7" s="1"/>
  <c r="R552" i="2"/>
  <c r="L468" i="2"/>
  <c r="D12" i="9"/>
  <c r="D11" i="9" s="1"/>
  <c r="E10" i="8"/>
  <c r="E9" i="8" s="1"/>
  <c r="D18" i="8"/>
  <c r="D111" i="8"/>
  <c r="G50" i="1"/>
  <c r="E50" i="1"/>
  <c r="E49" i="1" s="1"/>
  <c r="E67" i="7"/>
  <c r="D17" i="7"/>
  <c r="D16" i="7" s="1"/>
  <c r="D241" i="8"/>
  <c r="D234" i="8"/>
  <c r="D240" i="8"/>
  <c r="D229" i="8" s="1"/>
  <c r="D227" i="8" s="1"/>
  <c r="E82" i="8"/>
  <c r="E13" i="8"/>
  <c r="E12" i="8" s="1"/>
  <c r="D67" i="9"/>
  <c r="D66" i="9" s="1"/>
  <c r="D65" i="9" s="1"/>
  <c r="E66" i="9"/>
  <c r="E65" i="9" s="1"/>
  <c r="H12" i="2"/>
  <c r="G12" i="1" s="1"/>
  <c r="G12" i="2"/>
  <c r="F12" i="1" s="1"/>
  <c r="D9" i="4"/>
  <c r="D50" i="1"/>
  <c r="D12" i="10"/>
  <c r="D11" i="10" s="1"/>
  <c r="C72" i="1"/>
  <c r="D25" i="4"/>
  <c r="D21" i="4" s="1"/>
  <c r="F12" i="2"/>
  <c r="E12" i="1" s="1"/>
  <c r="H467" i="2"/>
  <c r="G51" i="1"/>
  <c r="G467" i="2"/>
  <c r="F50" i="1"/>
  <c r="F49" i="1" s="1"/>
  <c r="D19" i="7"/>
  <c r="D18" i="7" s="1"/>
  <c r="C69" i="1"/>
  <c r="D13" i="4"/>
  <c r="C56" i="1"/>
  <c r="D19" i="4"/>
  <c r="C63" i="1"/>
  <c r="C57" i="1"/>
  <c r="C50" i="1"/>
  <c r="D74" i="1"/>
  <c r="H11" i="8"/>
  <c r="H9" i="8" s="1"/>
  <c r="C68" i="1"/>
  <c r="D16" i="3"/>
  <c r="D12" i="3" s="1"/>
  <c r="H18" i="3"/>
  <c r="F18" i="3"/>
  <c r="F12" i="3"/>
  <c r="D9" i="3"/>
  <c r="D469" i="2"/>
  <c r="R553" i="2"/>
  <c r="N468" i="2"/>
  <c r="O468" i="2" s="1"/>
  <c r="P468" i="2"/>
  <c r="Q468" i="2" s="1"/>
  <c r="D472" i="2"/>
  <c r="C54" i="1" s="1"/>
  <c r="I468" i="2"/>
  <c r="E467" i="2"/>
  <c r="E10" i="3"/>
  <c r="D22" i="3"/>
  <c r="D19" i="6"/>
  <c r="D13" i="8"/>
  <c r="D12" i="8" s="1"/>
  <c r="D24" i="8"/>
  <c r="D11" i="8"/>
  <c r="D459" i="2"/>
  <c r="D458" i="2" s="1"/>
  <c r="E458" i="2"/>
  <c r="H246" i="2"/>
  <c r="F324" i="2"/>
  <c r="F385" i="2"/>
  <c r="D385" i="2"/>
  <c r="F183" i="2"/>
  <c r="H183" i="2"/>
  <c r="E186" i="2"/>
  <c r="F192" i="2"/>
  <c r="H204" i="2"/>
  <c r="E175" i="2"/>
  <c r="G385" i="2"/>
  <c r="G339" i="2"/>
  <c r="G348" i="2"/>
  <c r="F246" i="2"/>
  <c r="D349" i="2"/>
  <c r="D348" i="2" s="1"/>
  <c r="H267" i="2"/>
  <c r="D321" i="2"/>
  <c r="E339" i="2"/>
  <c r="H174" i="2"/>
  <c r="H210" i="2"/>
  <c r="H285" i="2"/>
  <c r="H321" i="2"/>
  <c r="F348" i="2"/>
  <c r="F174" i="2"/>
  <c r="E193" i="2"/>
  <c r="G192" i="2"/>
  <c r="G204" i="2"/>
  <c r="F210" i="2"/>
  <c r="F267" i="2"/>
  <c r="F285" i="2"/>
  <c r="E294" i="2"/>
  <c r="G294" i="2"/>
  <c r="E303" i="2"/>
  <c r="E312" i="2"/>
  <c r="G312" i="2"/>
  <c r="F312" i="2"/>
  <c r="H312" i="2"/>
  <c r="F321" i="2"/>
  <c r="G321" i="2"/>
  <c r="E330" i="2"/>
  <c r="G330" i="2"/>
  <c r="E388" i="2"/>
  <c r="F252" i="2"/>
  <c r="H252" i="2"/>
  <c r="G246" i="2"/>
  <c r="G303" i="2"/>
  <c r="D303" i="2"/>
  <c r="F294" i="2"/>
  <c r="H294" i="2"/>
  <c r="E174" i="2"/>
  <c r="G174" i="2"/>
  <c r="H192" i="2"/>
  <c r="G225" i="2"/>
  <c r="E285" i="2"/>
  <c r="G285" i="2"/>
  <c r="F330" i="2"/>
  <c r="H330" i="2"/>
  <c r="D339" i="2"/>
  <c r="F339" i="2"/>
  <c r="H339" i="2"/>
  <c r="F204" i="2"/>
  <c r="H231" i="2"/>
  <c r="G252" i="2"/>
  <c r="E267" i="2"/>
  <c r="G267" i="2"/>
  <c r="F276" i="2"/>
  <c r="H276" i="2"/>
  <c r="F303" i="2"/>
  <c r="H303" i="2"/>
  <c r="H348" i="2"/>
  <c r="N360" i="2"/>
  <c r="O360" i="2" s="1"/>
  <c r="D312" i="2"/>
  <c r="E237" i="2"/>
  <c r="G237" i="2"/>
  <c r="F237" i="2"/>
  <c r="H237" i="2"/>
  <c r="D247" i="2"/>
  <c r="E250" i="2"/>
  <c r="E246" i="2" s="1"/>
  <c r="D252" i="2"/>
  <c r="E279" i="2"/>
  <c r="E276" i="2" s="1"/>
  <c r="D174" i="2"/>
  <c r="G183" i="2"/>
  <c r="E231" i="2"/>
  <c r="D205" i="2"/>
  <c r="D204" i="2" s="1"/>
  <c r="E208" i="2"/>
  <c r="E210" i="2"/>
  <c r="G210" i="2"/>
  <c r="D226" i="2"/>
  <c r="D225" i="2" s="1"/>
  <c r="E386" i="2"/>
  <c r="D237" i="2"/>
  <c r="D246" i="2"/>
  <c r="E219" i="2"/>
  <c r="E216" i="2" s="1"/>
  <c r="F225" i="2"/>
  <c r="H225" i="2"/>
  <c r="J210" i="2"/>
  <c r="E205" i="2"/>
  <c r="D210" i="2"/>
  <c r="D285" i="2"/>
  <c r="D294" i="2"/>
  <c r="D193" i="2"/>
  <c r="D192" i="2" s="1"/>
  <c r="G216" i="2"/>
  <c r="D216" i="2"/>
  <c r="D231" i="2"/>
  <c r="D354" i="2"/>
  <c r="E201" i="2"/>
  <c r="D267" i="2"/>
  <c r="D276" i="2"/>
  <c r="D330" i="2"/>
  <c r="E352" i="2"/>
  <c r="E357" i="2"/>
  <c r="E354" i="2" s="1"/>
  <c r="J394" i="2"/>
  <c r="D198" i="2"/>
  <c r="D258" i="2"/>
  <c r="E261" i="2"/>
  <c r="E258" i="2" s="1"/>
  <c r="E348" i="2"/>
  <c r="R364" i="2"/>
  <c r="R363" i="2"/>
  <c r="N242" i="2"/>
  <c r="O242" i="2" s="1"/>
  <c r="E226" i="2"/>
  <c r="E229" i="2"/>
  <c r="E196" i="2"/>
  <c r="E199" i="2"/>
  <c r="D183" i="2"/>
  <c r="E184" i="2"/>
  <c r="J180" i="2"/>
  <c r="J179" i="2" s="1"/>
  <c r="J178" i="2"/>
  <c r="J176" i="2"/>
  <c r="E172" i="2"/>
  <c r="D172" i="2" s="1"/>
  <c r="H171" i="2"/>
  <c r="G171" i="2"/>
  <c r="F171" i="2"/>
  <c r="E171" i="2"/>
  <c r="E170" i="2"/>
  <c r="D170" i="2" s="1"/>
  <c r="D169" i="2" s="1"/>
  <c r="H169" i="2"/>
  <c r="G169" i="2"/>
  <c r="F169" i="2"/>
  <c r="E169" i="2"/>
  <c r="H168" i="2"/>
  <c r="E167" i="2"/>
  <c r="D167" i="2" s="1"/>
  <c r="D166" i="2" s="1"/>
  <c r="H166" i="2"/>
  <c r="G166" i="2"/>
  <c r="F166" i="2"/>
  <c r="E165" i="2"/>
  <c r="D165" i="2" s="1"/>
  <c r="E164" i="2"/>
  <c r="D164" i="2" s="1"/>
  <c r="H163" i="2"/>
  <c r="G163" i="2"/>
  <c r="F163" i="2"/>
  <c r="J172" i="2"/>
  <c r="J49" i="2" s="1"/>
  <c r="J170" i="2"/>
  <c r="J167" i="2"/>
  <c r="J165" i="2"/>
  <c r="J164" i="2"/>
  <c r="D160" i="2"/>
  <c r="D159" i="2" s="1"/>
  <c r="D158" i="2" s="1"/>
  <c r="H159" i="2"/>
  <c r="G159" i="2"/>
  <c r="G158" i="2" s="1"/>
  <c r="F159" i="2"/>
  <c r="F158" i="2" s="1"/>
  <c r="E159" i="2"/>
  <c r="E158" i="2" s="1"/>
  <c r="H158" i="2"/>
  <c r="E157" i="2"/>
  <c r="D157" i="2" s="1"/>
  <c r="H156" i="2"/>
  <c r="G156" i="2"/>
  <c r="F156" i="2"/>
  <c r="E156" i="2"/>
  <c r="E155" i="2"/>
  <c r="D155" i="2" s="1"/>
  <c r="D154" i="2" s="1"/>
  <c r="H154" i="2"/>
  <c r="G154" i="2"/>
  <c r="F154" i="2"/>
  <c r="E154" i="2"/>
  <c r="J159" i="2"/>
  <c r="J158" i="2" s="1"/>
  <c r="J157" i="2"/>
  <c r="J155" i="2"/>
  <c r="D151" i="2"/>
  <c r="D150" i="2" s="1"/>
  <c r="H150" i="2"/>
  <c r="G150" i="2"/>
  <c r="F150" i="2"/>
  <c r="E150" i="2"/>
  <c r="D149" i="2"/>
  <c r="D148" i="2" s="1"/>
  <c r="H148" i="2"/>
  <c r="G148" i="2"/>
  <c r="Q148" i="2" s="1"/>
  <c r="F148" i="2"/>
  <c r="E148" i="2"/>
  <c r="E146" i="2"/>
  <c r="D146" i="2" s="1"/>
  <c r="D145" i="2" s="1"/>
  <c r="H145" i="2"/>
  <c r="G145" i="2"/>
  <c r="F145" i="2"/>
  <c r="E144" i="2"/>
  <c r="D144" i="2" s="1"/>
  <c r="E143" i="2"/>
  <c r="D143" i="2" s="1"/>
  <c r="H142" i="2"/>
  <c r="G142" i="2"/>
  <c r="F142" i="2"/>
  <c r="J146" i="2"/>
  <c r="J144" i="2"/>
  <c r="J143" i="2"/>
  <c r="D139" i="2"/>
  <c r="D138" i="2"/>
  <c r="H137" i="2"/>
  <c r="G137" i="2"/>
  <c r="F137" i="2"/>
  <c r="E137" i="2"/>
  <c r="D136" i="2"/>
  <c r="D135" i="2" s="1"/>
  <c r="H135" i="2"/>
  <c r="G135" i="2"/>
  <c r="F135" i="2"/>
  <c r="E135" i="2"/>
  <c r="E133" i="2"/>
  <c r="D133" i="2" s="1"/>
  <c r="D132" i="2"/>
  <c r="H131" i="2"/>
  <c r="G131" i="2"/>
  <c r="F131" i="2"/>
  <c r="E130" i="2"/>
  <c r="D130" i="2" s="1"/>
  <c r="E129" i="2"/>
  <c r="D129" i="2" s="1"/>
  <c r="H128" i="2"/>
  <c r="G128" i="2"/>
  <c r="F128" i="2"/>
  <c r="J137" i="2"/>
  <c r="J135" i="2"/>
  <c r="J133" i="2"/>
  <c r="J130" i="2"/>
  <c r="J129" i="2"/>
  <c r="D125" i="2"/>
  <c r="D124" i="2"/>
  <c r="H123" i="2"/>
  <c r="G123" i="2"/>
  <c r="F123" i="2"/>
  <c r="D122" i="2"/>
  <c r="D121" i="2"/>
  <c r="H120" i="2"/>
  <c r="G120" i="2"/>
  <c r="F120" i="2"/>
  <c r="E120" i="2"/>
  <c r="E119" i="2" s="1"/>
  <c r="E118" i="2"/>
  <c r="D118" i="2" s="1"/>
  <c r="D117" i="2"/>
  <c r="H116" i="2"/>
  <c r="G116" i="2"/>
  <c r="F116" i="2"/>
  <c r="D115" i="2"/>
  <c r="D114" i="2"/>
  <c r="E113" i="2"/>
  <c r="D113" i="2" s="1"/>
  <c r="H112" i="2"/>
  <c r="H111" i="2" s="1"/>
  <c r="G112" i="2"/>
  <c r="G111" i="2" s="1"/>
  <c r="F112" i="2"/>
  <c r="J120" i="2"/>
  <c r="J119" i="2" s="1"/>
  <c r="J118" i="2"/>
  <c r="J113" i="2"/>
  <c r="D109" i="2"/>
  <c r="D108" i="2"/>
  <c r="H107" i="2"/>
  <c r="G107" i="2"/>
  <c r="F107" i="2"/>
  <c r="E107" i="2"/>
  <c r="D106" i="2"/>
  <c r="D105" i="2"/>
  <c r="H104" i="2"/>
  <c r="G104" i="2"/>
  <c r="G103" i="2" s="1"/>
  <c r="F104" i="2"/>
  <c r="E104" i="2"/>
  <c r="E103" i="2" s="1"/>
  <c r="H103" i="2"/>
  <c r="E102" i="2"/>
  <c r="D102" i="2" s="1"/>
  <c r="D101" i="2"/>
  <c r="H100" i="2"/>
  <c r="G100" i="2"/>
  <c r="F100" i="2"/>
  <c r="E99" i="2"/>
  <c r="D99" i="2" s="1"/>
  <c r="D98" i="2"/>
  <c r="E97" i="2"/>
  <c r="D97" i="2" s="1"/>
  <c r="H96" i="2"/>
  <c r="G96" i="2"/>
  <c r="F96" i="2"/>
  <c r="E96" i="2"/>
  <c r="H95" i="2"/>
  <c r="G95" i="2"/>
  <c r="F95" i="2"/>
  <c r="J107" i="2"/>
  <c r="J104" i="2"/>
  <c r="J102" i="2"/>
  <c r="J99" i="2"/>
  <c r="J97" i="2"/>
  <c r="D93" i="2"/>
  <c r="D92" i="2"/>
  <c r="H91" i="2"/>
  <c r="G91" i="2"/>
  <c r="F91" i="2"/>
  <c r="E91" i="2"/>
  <c r="D90" i="2"/>
  <c r="D89" i="2" s="1"/>
  <c r="H89" i="2"/>
  <c r="G89" i="2"/>
  <c r="F89" i="2"/>
  <c r="E89" i="2"/>
  <c r="E87" i="2"/>
  <c r="D87" i="2" s="1"/>
  <c r="D86" i="2"/>
  <c r="H85" i="2"/>
  <c r="G85" i="2"/>
  <c r="F85" i="2"/>
  <c r="E84" i="2"/>
  <c r="D84" i="2" s="1"/>
  <c r="D83" i="2"/>
  <c r="H82" i="2"/>
  <c r="G82" i="2"/>
  <c r="F82" i="2"/>
  <c r="J87" i="2"/>
  <c r="J91" i="2"/>
  <c r="J84" i="2"/>
  <c r="D79" i="2"/>
  <c r="D78" i="2"/>
  <c r="H77" i="2"/>
  <c r="G77" i="2"/>
  <c r="F77" i="2"/>
  <c r="E77" i="2"/>
  <c r="D76" i="2"/>
  <c r="D75" i="2"/>
  <c r="O75" i="2" s="1"/>
  <c r="H74" i="2"/>
  <c r="H73" i="2" s="1"/>
  <c r="G74" i="2"/>
  <c r="F74" i="2"/>
  <c r="E74" i="2"/>
  <c r="F73" i="2"/>
  <c r="E72" i="2"/>
  <c r="D72" i="2" s="1"/>
  <c r="D71" i="2"/>
  <c r="H70" i="2"/>
  <c r="G70" i="2"/>
  <c r="F70" i="2"/>
  <c r="E69" i="2"/>
  <c r="D69" i="2" s="1"/>
  <c r="D68" i="2"/>
  <c r="D67" i="2"/>
  <c r="H66" i="2"/>
  <c r="G66" i="2"/>
  <c r="F66" i="2"/>
  <c r="E66" i="2"/>
  <c r="J77" i="2"/>
  <c r="J73" i="2" s="1"/>
  <c r="J72" i="2"/>
  <c r="J69" i="2"/>
  <c r="D63" i="2"/>
  <c r="H61" i="2"/>
  <c r="G61" i="2"/>
  <c r="F61" i="2"/>
  <c r="D61" i="2"/>
  <c r="D60" i="2"/>
  <c r="D59" i="2" s="1"/>
  <c r="H59" i="2"/>
  <c r="G59" i="2"/>
  <c r="F59" i="2"/>
  <c r="E59" i="2"/>
  <c r="E58" i="2" s="1"/>
  <c r="D57" i="2"/>
  <c r="D55" i="2" s="1"/>
  <c r="H55" i="2"/>
  <c r="G55" i="2"/>
  <c r="F55" i="2"/>
  <c r="E55" i="2"/>
  <c r="E54" i="2"/>
  <c r="D54" i="2" s="1"/>
  <c r="D53" i="2"/>
  <c r="H52" i="2"/>
  <c r="H51" i="2" s="1"/>
  <c r="G52" i="2"/>
  <c r="G51" i="2" s="1"/>
  <c r="F52" i="2"/>
  <c r="F51" i="2" s="1"/>
  <c r="J59" i="2"/>
  <c r="J58" i="2" s="1"/>
  <c r="J55" i="2"/>
  <c r="J54" i="2"/>
  <c r="P49" i="2"/>
  <c r="F49" i="2"/>
  <c r="G49" i="2"/>
  <c r="H49" i="2"/>
  <c r="K49" i="2"/>
  <c r="L49" i="2"/>
  <c r="M49" i="2"/>
  <c r="P42" i="2"/>
  <c r="F42" i="2"/>
  <c r="G42" i="2"/>
  <c r="H42" i="2"/>
  <c r="L42" i="2"/>
  <c r="M42" i="2"/>
  <c r="D23" i="8" l="1"/>
  <c r="Q49" i="2"/>
  <c r="Q42" i="2"/>
  <c r="D49" i="1"/>
  <c r="O536" i="2"/>
  <c r="G49" i="1"/>
  <c r="D12" i="7"/>
  <c r="D231" i="8"/>
  <c r="D230" i="8" s="1"/>
  <c r="C55" i="1"/>
  <c r="C53" i="1" s="1"/>
  <c r="E12" i="2"/>
  <c r="D467" i="2"/>
  <c r="C51" i="1"/>
  <c r="C49" i="1" s="1"/>
  <c r="D12" i="2"/>
  <c r="C12" i="1" s="1"/>
  <c r="D12" i="4"/>
  <c r="D9" i="8"/>
  <c r="E9" i="3"/>
  <c r="D12" i="1"/>
  <c r="D21" i="3"/>
  <c r="D18" i="3" s="1"/>
  <c r="R468" i="2"/>
  <c r="G88" i="2"/>
  <c r="H65" i="2"/>
  <c r="F103" i="2"/>
  <c r="E385" i="2"/>
  <c r="E52" i="2"/>
  <c r="E51" i="2" s="1"/>
  <c r="F65" i="2"/>
  <c r="E70" i="2"/>
  <c r="F81" i="2"/>
  <c r="H81" i="2"/>
  <c r="D104" i="2"/>
  <c r="E192" i="2"/>
  <c r="D91" i="2"/>
  <c r="D88" i="2" s="1"/>
  <c r="E183" i="2"/>
  <c r="E42" i="2"/>
  <c r="F162" i="2"/>
  <c r="G162" i="2"/>
  <c r="H119" i="2"/>
  <c r="G127" i="2"/>
  <c r="F168" i="2"/>
  <c r="H162" i="2"/>
  <c r="E88" i="2"/>
  <c r="G58" i="2"/>
  <c r="D58" i="2"/>
  <c r="G81" i="2"/>
  <c r="D77" i="2"/>
  <c r="D52" i="2"/>
  <c r="D51" i="2" s="1"/>
  <c r="F111" i="2"/>
  <c r="G119" i="2"/>
  <c r="F119" i="2"/>
  <c r="D123" i="2"/>
  <c r="E65" i="2"/>
  <c r="G65" i="2"/>
  <c r="E49" i="2"/>
  <c r="F58" i="2"/>
  <c r="H58" i="2"/>
  <c r="E73" i="2"/>
  <c r="G73" i="2"/>
  <c r="E82" i="2"/>
  <c r="E85" i="2"/>
  <c r="J103" i="2"/>
  <c r="E116" i="2"/>
  <c r="D116" i="2"/>
  <c r="D120" i="2"/>
  <c r="D119" i="2" s="1"/>
  <c r="F127" i="2"/>
  <c r="H127" i="2"/>
  <c r="G134" i="2"/>
  <c r="E142" i="2"/>
  <c r="G141" i="2"/>
  <c r="F147" i="2"/>
  <c r="H147" i="2"/>
  <c r="E153" i="2"/>
  <c r="G153" i="2"/>
  <c r="D163" i="2"/>
  <c r="D162" i="2" s="1"/>
  <c r="E166" i="2"/>
  <c r="E168" i="2"/>
  <c r="G168" i="2"/>
  <c r="E198" i="2"/>
  <c r="E204" i="2"/>
  <c r="F141" i="2"/>
  <c r="D74" i="2"/>
  <c r="E134" i="2"/>
  <c r="D137" i="2"/>
  <c r="D134" i="2" s="1"/>
  <c r="D112" i="2"/>
  <c r="D100" i="2"/>
  <c r="H141" i="2"/>
  <c r="F153" i="2"/>
  <c r="E100" i="2"/>
  <c r="E95" i="2" s="1"/>
  <c r="E147" i="2"/>
  <c r="G147" i="2"/>
  <c r="D131" i="2"/>
  <c r="H153" i="2"/>
  <c r="D107" i="2"/>
  <c r="F134" i="2"/>
  <c r="H134" i="2"/>
  <c r="D142" i="2"/>
  <c r="D141" i="2" s="1"/>
  <c r="E145" i="2"/>
  <c r="E112" i="2"/>
  <c r="J134" i="2"/>
  <c r="D128" i="2"/>
  <c r="E131" i="2"/>
  <c r="D96" i="2"/>
  <c r="E128" i="2"/>
  <c r="E127" i="2" s="1"/>
  <c r="F88" i="2"/>
  <c r="H88" i="2"/>
  <c r="D85" i="2"/>
  <c r="D82" i="2"/>
  <c r="D147" i="2"/>
  <c r="D66" i="2"/>
  <c r="D70" i="2"/>
  <c r="E225" i="2"/>
  <c r="D171" i="2"/>
  <c r="D168" i="2" s="1"/>
  <c r="D49" i="2"/>
  <c r="E163" i="2"/>
  <c r="D42" i="2"/>
  <c r="D156" i="2"/>
  <c r="D153" i="2" s="1"/>
  <c r="C74" i="1" l="1"/>
  <c r="D73" i="2"/>
  <c r="G13" i="2"/>
  <c r="F13" i="2"/>
  <c r="H13" i="2"/>
  <c r="H11" i="2" s="1"/>
  <c r="D103" i="2"/>
  <c r="E111" i="2"/>
  <c r="E141" i="2"/>
  <c r="E162" i="2"/>
  <c r="D95" i="2"/>
  <c r="D127" i="2"/>
  <c r="D111" i="2"/>
  <c r="E81" i="2"/>
  <c r="D81" i="2"/>
  <c r="D65" i="2"/>
  <c r="J140" i="3"/>
  <c r="J135" i="3"/>
  <c r="P22" i="3"/>
  <c r="Q22" i="3" s="1"/>
  <c r="P17" i="3"/>
  <c r="Q17" i="3" s="1"/>
  <c r="K22" i="3"/>
  <c r="L22" i="3"/>
  <c r="K17" i="3"/>
  <c r="L17" i="3"/>
  <c r="K189" i="3"/>
  <c r="K187" i="3"/>
  <c r="K184" i="3"/>
  <c r="K181" i="3"/>
  <c r="K177" i="3"/>
  <c r="K175" i="3"/>
  <c r="K172" i="3"/>
  <c r="K169" i="3"/>
  <c r="M161" i="3"/>
  <c r="J161" i="3"/>
  <c r="M159" i="3"/>
  <c r="J159" i="3"/>
  <c r="J154" i="3"/>
  <c r="I154" i="3" s="1"/>
  <c r="J149" i="3"/>
  <c r="J146" i="3"/>
  <c r="M142" i="3"/>
  <c r="M22" i="3" s="1"/>
  <c r="J142" i="3"/>
  <c r="M137" i="3"/>
  <c r="J137" i="3"/>
  <c r="J134" i="3"/>
  <c r="M134" i="3"/>
  <c r="J130" i="3"/>
  <c r="J128" i="3"/>
  <c r="J125" i="3"/>
  <c r="J123" i="3"/>
  <c r="J110" i="3"/>
  <c r="J118" i="3"/>
  <c r="J116" i="3"/>
  <c r="M112" i="3"/>
  <c r="J113" i="3"/>
  <c r="J111" i="3"/>
  <c r="J106" i="3"/>
  <c r="J104" i="3"/>
  <c r="J101" i="3"/>
  <c r="J99" i="3"/>
  <c r="J98" i="3"/>
  <c r="G13" i="1" l="1"/>
  <c r="G11" i="1" s="1"/>
  <c r="G11" i="2"/>
  <c r="F13" i="1"/>
  <c r="F11" i="1" s="1"/>
  <c r="D13" i="2"/>
  <c r="E13" i="2"/>
  <c r="F11" i="2"/>
  <c r="E13" i="1"/>
  <c r="E11" i="1" s="1"/>
  <c r="K174" i="3"/>
  <c r="K180" i="3"/>
  <c r="K186" i="3"/>
  <c r="K168" i="3"/>
  <c r="E11" i="2" l="1"/>
  <c r="D13" i="1"/>
  <c r="D11" i="1" s="1"/>
  <c r="D11" i="2"/>
  <c r="C13" i="1"/>
  <c r="C11" i="1" s="1"/>
  <c r="P93" i="3"/>
  <c r="P91" i="3"/>
  <c r="P88" i="3"/>
  <c r="P86" i="3"/>
  <c r="J92" i="3"/>
  <c r="J89" i="3"/>
  <c r="J87" i="3"/>
  <c r="J83" i="3"/>
  <c r="J81" i="3"/>
  <c r="J78" i="3"/>
  <c r="J76" i="3"/>
  <c r="M69" i="3"/>
  <c r="M66" i="3"/>
  <c r="M17" i="3" s="1"/>
  <c r="M64" i="3"/>
  <c r="P58" i="3"/>
  <c r="P56" i="3"/>
  <c r="P53" i="3"/>
  <c r="P50" i="3"/>
  <c r="J59" i="3"/>
  <c r="J22" i="3" s="1"/>
  <c r="J57" i="3"/>
  <c r="J54" i="3"/>
  <c r="J17" i="3" s="1"/>
  <c r="J52" i="3"/>
  <c r="M46" i="3"/>
  <c r="M43" i="3" s="1"/>
  <c r="L46" i="3"/>
  <c r="M41" i="3"/>
  <c r="M38" i="3" s="1"/>
  <c r="R23" i="3"/>
  <c r="R24" i="3"/>
  <c r="R25" i="3"/>
  <c r="R26" i="3"/>
  <c r="R27" i="3"/>
  <c r="R28" i="3"/>
  <c r="R29" i="3"/>
  <c r="R33" i="3"/>
  <c r="R36" i="3"/>
  <c r="R51" i="3"/>
  <c r="R52" i="3"/>
  <c r="R54" i="3"/>
  <c r="R57" i="3"/>
  <c r="R59" i="3"/>
  <c r="R63" i="3"/>
  <c r="R64" i="3"/>
  <c r="R66" i="3"/>
  <c r="R69" i="3"/>
  <c r="R71" i="3"/>
  <c r="R75" i="3"/>
  <c r="R76" i="3"/>
  <c r="R78" i="3"/>
  <c r="R81" i="3"/>
  <c r="R83" i="3"/>
  <c r="R87" i="3"/>
  <c r="R89" i="3"/>
  <c r="R92" i="3"/>
  <c r="R94" i="3"/>
  <c r="R146" i="3"/>
  <c r="R147" i="3"/>
  <c r="R149" i="3"/>
  <c r="R152" i="3"/>
  <c r="R154" i="3"/>
  <c r="R98" i="3"/>
  <c r="R99" i="3"/>
  <c r="R101" i="3"/>
  <c r="R104" i="3"/>
  <c r="R106" i="3"/>
  <c r="R110" i="3"/>
  <c r="R111" i="3"/>
  <c r="R113" i="3"/>
  <c r="R116" i="3"/>
  <c r="R118" i="3"/>
  <c r="R40" i="3"/>
  <c r="R42" i="3"/>
  <c r="R45" i="3"/>
  <c r="R47" i="3"/>
  <c r="R122" i="3"/>
  <c r="R123" i="3"/>
  <c r="R125" i="3"/>
  <c r="R128" i="3"/>
  <c r="R130" i="3"/>
  <c r="R134" i="3"/>
  <c r="R135" i="3"/>
  <c r="R137" i="3"/>
  <c r="R140" i="3"/>
  <c r="R142" i="3"/>
  <c r="R158" i="3"/>
  <c r="R159" i="3"/>
  <c r="R161" i="3"/>
  <c r="R164" i="3"/>
  <c r="R166" i="3"/>
  <c r="R170" i="3"/>
  <c r="R171" i="3"/>
  <c r="R173" i="3"/>
  <c r="R176" i="3"/>
  <c r="R178" i="3"/>
  <c r="R182" i="3"/>
  <c r="R183" i="3"/>
  <c r="R185" i="3"/>
  <c r="R188" i="3"/>
  <c r="R190" i="3"/>
  <c r="P11" i="4"/>
  <c r="K11" i="4"/>
  <c r="L11" i="4"/>
  <c r="M11" i="4"/>
  <c r="P14" i="4"/>
  <c r="K14" i="4"/>
  <c r="L14" i="4"/>
  <c r="P26" i="4"/>
  <c r="M26" i="4"/>
  <c r="L26" i="4"/>
  <c r="K26" i="4"/>
  <c r="P20" i="4"/>
  <c r="M20" i="4"/>
  <c r="L20" i="4"/>
  <c r="K20" i="4"/>
  <c r="P16" i="4"/>
  <c r="M16" i="4"/>
  <c r="L16" i="4"/>
  <c r="K16" i="4"/>
  <c r="P15" i="4"/>
  <c r="K15" i="4"/>
  <c r="L15" i="4"/>
  <c r="M15" i="4"/>
  <c r="M67" i="4"/>
  <c r="J67" i="4"/>
  <c r="M63" i="4"/>
  <c r="M14" i="4" s="1"/>
  <c r="J63" i="4"/>
  <c r="R71" i="4"/>
  <c r="N71" i="4"/>
  <c r="I71" i="4"/>
  <c r="P70" i="4"/>
  <c r="P69" i="4" s="1"/>
  <c r="M70" i="4"/>
  <c r="M69" i="4" s="1"/>
  <c r="L70" i="4"/>
  <c r="K70" i="4"/>
  <c r="K69" i="4" s="1"/>
  <c r="J70" i="4"/>
  <c r="J69" i="4" s="1"/>
  <c r="I70" i="4"/>
  <c r="I69" i="4" s="1"/>
  <c r="L69" i="4"/>
  <c r="R67" i="4"/>
  <c r="I67" i="4"/>
  <c r="I66" i="4" s="1"/>
  <c r="I65" i="4" s="1"/>
  <c r="P66" i="4"/>
  <c r="P65" i="4" s="1"/>
  <c r="M66" i="4"/>
  <c r="L66" i="4"/>
  <c r="L65" i="4" s="1"/>
  <c r="K66" i="4"/>
  <c r="J66" i="4"/>
  <c r="M65" i="4"/>
  <c r="K65" i="4"/>
  <c r="R63" i="4"/>
  <c r="N63" i="4"/>
  <c r="P62" i="4"/>
  <c r="P61" i="4" s="1"/>
  <c r="M62" i="4"/>
  <c r="L62" i="4"/>
  <c r="L61" i="4" s="1"/>
  <c r="L10" i="4" s="1"/>
  <c r="K62" i="4"/>
  <c r="J62" i="4"/>
  <c r="M61" i="4"/>
  <c r="M10" i="4" s="1"/>
  <c r="K61" i="4"/>
  <c r="J51" i="4"/>
  <c r="J50" i="4"/>
  <c r="J46" i="4"/>
  <c r="J43" i="4"/>
  <c r="J41" i="4"/>
  <c r="J40" i="4"/>
  <c r="J36" i="4"/>
  <c r="J26" i="4" s="1"/>
  <c r="J33" i="4"/>
  <c r="J20" i="4" s="1"/>
  <c r="J31" i="4"/>
  <c r="J11" i="4" s="1"/>
  <c r="J30" i="4"/>
  <c r="J15" i="4" s="1"/>
  <c r="R30" i="4"/>
  <c r="R31" i="4"/>
  <c r="R33" i="4"/>
  <c r="R36" i="4"/>
  <c r="R40" i="4"/>
  <c r="R41" i="4"/>
  <c r="R43" i="4"/>
  <c r="R46" i="4"/>
  <c r="R50" i="4"/>
  <c r="R51" i="4"/>
  <c r="R52" i="4"/>
  <c r="R53" i="4"/>
  <c r="R54" i="4"/>
  <c r="R55" i="4"/>
  <c r="R58" i="4"/>
  <c r="R59" i="4"/>
  <c r="R11" i="4"/>
  <c r="P10" i="4" l="1"/>
  <c r="M9" i="4"/>
  <c r="K10" i="4"/>
  <c r="L9" i="4"/>
  <c r="R10" i="4"/>
  <c r="P9" i="4"/>
  <c r="R9" i="4" s="1"/>
  <c r="R14" i="4"/>
  <c r="J14" i="4"/>
  <c r="J61" i="4"/>
  <c r="I63" i="4"/>
  <c r="I62" i="4" s="1"/>
  <c r="I61" i="4" s="1"/>
  <c r="I10" i="4" s="1"/>
  <c r="J65" i="4"/>
  <c r="N67" i="4"/>
  <c r="N66" i="4" s="1"/>
  <c r="N65" i="4" s="1"/>
  <c r="N70" i="4"/>
  <c r="N69" i="4" s="1"/>
  <c r="J16" i="4"/>
  <c r="J20" i="3"/>
  <c r="P90" i="3"/>
  <c r="P55" i="3"/>
  <c r="P85" i="3"/>
  <c r="P49" i="3"/>
  <c r="R65" i="4"/>
  <c r="R66" i="4"/>
  <c r="R69" i="4"/>
  <c r="R70" i="4"/>
  <c r="R61" i="4"/>
  <c r="R62" i="4"/>
  <c r="N62" i="4"/>
  <c r="N61" i="4" s="1"/>
  <c r="N10" i="4" s="1"/>
  <c r="P46" i="5"/>
  <c r="P44" i="5"/>
  <c r="P40" i="5"/>
  <c r="Q40" i="5" s="1"/>
  <c r="P38" i="5"/>
  <c r="P37" i="5"/>
  <c r="Q37" i="5" s="1"/>
  <c r="P36" i="5"/>
  <c r="P35" i="5"/>
  <c r="J37" i="5"/>
  <c r="K37" i="5"/>
  <c r="L37" i="5"/>
  <c r="M37" i="5"/>
  <c r="J46" i="5"/>
  <c r="J45" i="5" s="1"/>
  <c r="K46" i="5"/>
  <c r="K45" i="5" s="1"/>
  <c r="K41" i="5" s="1"/>
  <c r="L46" i="5"/>
  <c r="M46" i="5"/>
  <c r="M45" i="5" s="1"/>
  <c r="J44" i="5"/>
  <c r="K44" i="5"/>
  <c r="L44" i="5"/>
  <c r="M44" i="5"/>
  <c r="N44" i="5"/>
  <c r="O44" i="5" s="1"/>
  <c r="J40" i="5"/>
  <c r="K40" i="5"/>
  <c r="K39" i="5" s="1"/>
  <c r="L40" i="5"/>
  <c r="M40" i="5"/>
  <c r="J36" i="5"/>
  <c r="I60" i="1" s="1"/>
  <c r="K36" i="5"/>
  <c r="J60" i="1" s="1"/>
  <c r="L36" i="5"/>
  <c r="K60" i="1" s="1"/>
  <c r="M36" i="5"/>
  <c r="L60" i="1" s="1"/>
  <c r="K38" i="5"/>
  <c r="L38" i="5"/>
  <c r="M38" i="5"/>
  <c r="P63" i="5"/>
  <c r="Q63" i="5" s="1"/>
  <c r="J63" i="5"/>
  <c r="K63" i="5"/>
  <c r="L63" i="5"/>
  <c r="M63" i="5"/>
  <c r="I65" i="5"/>
  <c r="I44" i="5" s="1"/>
  <c r="J42" i="5"/>
  <c r="K42" i="5"/>
  <c r="L42" i="5"/>
  <c r="M42" i="5"/>
  <c r="R46" i="5"/>
  <c r="N46" i="5"/>
  <c r="O46" i="5" s="1"/>
  <c r="R43" i="5"/>
  <c r="N43" i="5"/>
  <c r="M39" i="5"/>
  <c r="R37" i="5"/>
  <c r="R67" i="5"/>
  <c r="N67" i="5"/>
  <c r="O67" i="5" s="1"/>
  <c r="I67" i="5"/>
  <c r="I66" i="5" s="1"/>
  <c r="P66" i="5"/>
  <c r="Q66" i="5" s="1"/>
  <c r="M66" i="5"/>
  <c r="M62" i="5" s="1"/>
  <c r="L66" i="5"/>
  <c r="K66" i="5"/>
  <c r="K62" i="5" s="1"/>
  <c r="J66" i="5"/>
  <c r="J62" i="5" s="1"/>
  <c r="R64" i="5"/>
  <c r="N64" i="5"/>
  <c r="I64" i="5"/>
  <c r="I43" i="5" s="1"/>
  <c r="R61" i="5"/>
  <c r="N61" i="5"/>
  <c r="I61" i="5"/>
  <c r="I60" i="5" s="1"/>
  <c r="P60" i="5"/>
  <c r="Q60" i="5" s="1"/>
  <c r="M60" i="5"/>
  <c r="L60" i="5"/>
  <c r="K60" i="5"/>
  <c r="J60" i="5"/>
  <c r="R59" i="5"/>
  <c r="N59" i="5"/>
  <c r="I59" i="5"/>
  <c r="I37" i="5" s="1"/>
  <c r="R58" i="5"/>
  <c r="N58" i="5"/>
  <c r="P57" i="5"/>
  <c r="Q57" i="5" s="1"/>
  <c r="M57" i="5"/>
  <c r="L57" i="5"/>
  <c r="K57" i="5"/>
  <c r="J57" i="5"/>
  <c r="J56" i="5" s="1"/>
  <c r="J53" i="5"/>
  <c r="J52" i="5" s="1"/>
  <c r="R54" i="5"/>
  <c r="J50" i="5"/>
  <c r="R47" i="5"/>
  <c r="R50" i="5"/>
  <c r="R51" i="5"/>
  <c r="R55" i="5"/>
  <c r="P20" i="5"/>
  <c r="P17" i="5"/>
  <c r="P15" i="5"/>
  <c r="J15" i="5"/>
  <c r="J14" i="5" s="1"/>
  <c r="K15" i="5"/>
  <c r="K14" i="5" s="1"/>
  <c r="L15" i="5"/>
  <c r="L14" i="5" s="1"/>
  <c r="M15" i="5"/>
  <c r="M14" i="5" s="1"/>
  <c r="J17" i="5"/>
  <c r="J16" i="5" s="1"/>
  <c r="K17" i="5"/>
  <c r="K16" i="5" s="1"/>
  <c r="L17" i="5"/>
  <c r="L16" i="5" s="1"/>
  <c r="M17" i="5"/>
  <c r="M16" i="5" s="1"/>
  <c r="J20" i="5"/>
  <c r="J19" i="5" s="1"/>
  <c r="J18" i="5" s="1"/>
  <c r="K20" i="5"/>
  <c r="K19" i="5" s="1"/>
  <c r="K18" i="5" s="1"/>
  <c r="L20" i="5"/>
  <c r="L19" i="5" s="1"/>
  <c r="L18" i="5" s="1"/>
  <c r="M20" i="5"/>
  <c r="M19" i="5" s="1"/>
  <c r="M18" i="5" s="1"/>
  <c r="R32" i="5"/>
  <c r="R29" i="5"/>
  <c r="N29" i="5"/>
  <c r="I29" i="5"/>
  <c r="I20" i="5" s="1"/>
  <c r="I19" i="5" s="1"/>
  <c r="I18" i="5" s="1"/>
  <c r="P28" i="5"/>
  <c r="M28" i="5"/>
  <c r="M27" i="5" s="1"/>
  <c r="L28" i="5"/>
  <c r="L27" i="5" s="1"/>
  <c r="K28" i="5"/>
  <c r="K27" i="5" s="1"/>
  <c r="J28" i="5"/>
  <c r="R26" i="5"/>
  <c r="N26" i="5"/>
  <c r="I26" i="5"/>
  <c r="I17" i="5" s="1"/>
  <c r="I16" i="5" s="1"/>
  <c r="P25" i="5"/>
  <c r="Q25" i="5" s="1"/>
  <c r="M25" i="5"/>
  <c r="L25" i="5"/>
  <c r="K25" i="5"/>
  <c r="J25" i="5"/>
  <c r="R24" i="5"/>
  <c r="N24" i="5"/>
  <c r="O24" i="5" s="1"/>
  <c r="I24" i="5"/>
  <c r="P23" i="5"/>
  <c r="Q23" i="5" s="1"/>
  <c r="M23" i="5"/>
  <c r="L23" i="5"/>
  <c r="K23" i="5"/>
  <c r="K22" i="5" s="1"/>
  <c r="K11" i="5" s="1"/>
  <c r="K10" i="5" s="1"/>
  <c r="J23" i="5"/>
  <c r="I23" i="5"/>
  <c r="P39" i="5" l="1"/>
  <c r="Q39" i="5" s="1"/>
  <c r="M41" i="5"/>
  <c r="N25" i="5"/>
  <c r="O25" i="5" s="1"/>
  <c r="O26" i="5"/>
  <c r="N28" i="5"/>
  <c r="O29" i="5"/>
  <c r="N42" i="5"/>
  <c r="O42" i="5" s="1"/>
  <c r="O43" i="5"/>
  <c r="P34" i="5"/>
  <c r="Q34" i="5" s="1"/>
  <c r="Q35" i="5"/>
  <c r="P42" i="5"/>
  <c r="Q42" i="5" s="1"/>
  <c r="Q44" i="5"/>
  <c r="P27" i="5"/>
  <c r="R27" i="5" s="1"/>
  <c r="Q28" i="5"/>
  <c r="P16" i="5"/>
  <c r="Q16" i="5" s="1"/>
  <c r="Q17" i="5"/>
  <c r="J38" i="5"/>
  <c r="J35" i="5" s="1"/>
  <c r="N50" i="5"/>
  <c r="O50" i="5" s="1"/>
  <c r="N36" i="5"/>
  <c r="O58" i="5"/>
  <c r="P14" i="5"/>
  <c r="Q14" i="5" s="1"/>
  <c r="Q15" i="5"/>
  <c r="P19" i="5"/>
  <c r="R19" i="5" s="1"/>
  <c r="Q20" i="5"/>
  <c r="N37" i="5"/>
  <c r="O37" i="5" s="1"/>
  <c r="O59" i="5"/>
  <c r="N40" i="5"/>
  <c r="O40" i="5" s="1"/>
  <c r="O61" i="5"/>
  <c r="N63" i="5"/>
  <c r="O63" i="5" s="1"/>
  <c r="O64" i="5"/>
  <c r="R36" i="5"/>
  <c r="O60" i="1"/>
  <c r="P60" i="1" s="1"/>
  <c r="Q36" i="5"/>
  <c r="P45" i="5"/>
  <c r="Q46" i="5"/>
  <c r="K35" i="5"/>
  <c r="K34" i="5" s="1"/>
  <c r="I63" i="5"/>
  <c r="N14" i="4"/>
  <c r="I42" i="5"/>
  <c r="I14" i="4"/>
  <c r="N15" i="5"/>
  <c r="J27" i="5"/>
  <c r="L13" i="5"/>
  <c r="I46" i="5"/>
  <c r="I45" i="5" s="1"/>
  <c r="J10" i="4"/>
  <c r="K9" i="4"/>
  <c r="N23" i="5"/>
  <c r="I25" i="5"/>
  <c r="N17" i="5"/>
  <c r="O17" i="5" s="1"/>
  <c r="I28" i="5"/>
  <c r="I27" i="5" s="1"/>
  <c r="N20" i="5"/>
  <c r="O20" i="5" s="1"/>
  <c r="K56" i="5"/>
  <c r="M56" i="5"/>
  <c r="N60" i="5"/>
  <c r="O60" i="5" s="1"/>
  <c r="J39" i="5"/>
  <c r="N39" i="5" s="1"/>
  <c r="O39" i="5" s="1"/>
  <c r="L39" i="5"/>
  <c r="R40" i="5"/>
  <c r="L45" i="5"/>
  <c r="L35" i="5"/>
  <c r="L34" i="5" s="1"/>
  <c r="R34" i="5" s="1"/>
  <c r="M35" i="5"/>
  <c r="M34" i="5" s="1"/>
  <c r="I40" i="5"/>
  <c r="I39" i="5" s="1"/>
  <c r="Q60" i="1"/>
  <c r="N45" i="5"/>
  <c r="O45" i="5" s="1"/>
  <c r="J34" i="5"/>
  <c r="L41" i="5"/>
  <c r="P22" i="5"/>
  <c r="Q22" i="5" s="1"/>
  <c r="P56" i="5"/>
  <c r="Q56" i="5" s="1"/>
  <c r="P62" i="5"/>
  <c r="Q62" i="5" s="1"/>
  <c r="I22" i="5"/>
  <c r="P13" i="5"/>
  <c r="Q13" i="5" s="1"/>
  <c r="J41" i="5"/>
  <c r="I41" i="5"/>
  <c r="R45" i="5"/>
  <c r="R39" i="5"/>
  <c r="R66" i="5"/>
  <c r="L62" i="5"/>
  <c r="I62" i="5"/>
  <c r="N66" i="5"/>
  <c r="O66" i="5" s="1"/>
  <c r="L56" i="5"/>
  <c r="R60" i="5"/>
  <c r="R56" i="5"/>
  <c r="N56" i="5"/>
  <c r="O56" i="5" s="1"/>
  <c r="N57" i="5"/>
  <c r="O57" i="5" s="1"/>
  <c r="R57" i="5"/>
  <c r="R63" i="5"/>
  <c r="I58" i="5"/>
  <c r="R23" i="5"/>
  <c r="N19" i="5"/>
  <c r="I15" i="5"/>
  <c r="I14" i="5" s="1"/>
  <c r="I13" i="5" s="1"/>
  <c r="M13" i="5"/>
  <c r="K13" i="5"/>
  <c r="J13" i="5"/>
  <c r="M22" i="5"/>
  <c r="J22" i="5"/>
  <c r="N22" i="5"/>
  <c r="O22" i="5" s="1"/>
  <c r="L22" i="5"/>
  <c r="R28" i="5"/>
  <c r="R15" i="5"/>
  <c r="R25" i="5"/>
  <c r="R22" i="5"/>
  <c r="R20" i="5"/>
  <c r="P108" i="6"/>
  <c r="L108" i="6"/>
  <c r="L107" i="6" s="1"/>
  <c r="L106" i="6" s="1"/>
  <c r="M160" i="6"/>
  <c r="K108" i="6"/>
  <c r="M172" i="6"/>
  <c r="M171" i="6" s="1"/>
  <c r="M170" i="6" s="1"/>
  <c r="M168" i="6"/>
  <c r="M167" i="6" s="1"/>
  <c r="M166" i="6" s="1"/>
  <c r="M164" i="6"/>
  <c r="M163" i="6" s="1"/>
  <c r="M162" i="6" s="1"/>
  <c r="M159" i="6"/>
  <c r="M158" i="6" s="1"/>
  <c r="M156" i="6"/>
  <c r="M155" i="6" s="1"/>
  <c r="M154" i="6" s="1"/>
  <c r="R172" i="6"/>
  <c r="N172" i="6"/>
  <c r="O172" i="6" s="1"/>
  <c r="P171" i="6"/>
  <c r="N171" i="6"/>
  <c r="L171" i="6"/>
  <c r="L170" i="6" s="1"/>
  <c r="K171" i="6"/>
  <c r="J171" i="6"/>
  <c r="J170" i="6" s="1"/>
  <c r="K170" i="6"/>
  <c r="R168" i="6"/>
  <c r="N168" i="6"/>
  <c r="P167" i="6"/>
  <c r="L167" i="6"/>
  <c r="L166" i="6" s="1"/>
  <c r="K167" i="6"/>
  <c r="K166" i="6" s="1"/>
  <c r="J167" i="6"/>
  <c r="J166" i="6"/>
  <c r="R164" i="6"/>
  <c r="N164" i="6"/>
  <c r="I164" i="6"/>
  <c r="I163" i="6" s="1"/>
  <c r="I162" i="6" s="1"/>
  <c r="P163" i="6"/>
  <c r="L163" i="6"/>
  <c r="L162" i="6" s="1"/>
  <c r="K163" i="6"/>
  <c r="K162" i="6" s="1"/>
  <c r="J163" i="6"/>
  <c r="J162" i="6" s="1"/>
  <c r="M152" i="6"/>
  <c r="M151" i="6" s="1"/>
  <c r="M150" i="6" s="1"/>
  <c r="M148" i="6"/>
  <c r="M147" i="6" s="1"/>
  <c r="M146" i="6" s="1"/>
  <c r="M143" i="6"/>
  <c r="M142" i="6" s="1"/>
  <c r="M140" i="6"/>
  <c r="M139" i="6" s="1"/>
  <c r="M138" i="6" s="1"/>
  <c r="M136" i="6"/>
  <c r="M135" i="6" s="1"/>
  <c r="M134" i="6" s="1"/>
  <c r="R132" i="6"/>
  <c r="M132" i="6"/>
  <c r="M131" i="6" s="1"/>
  <c r="M130" i="6" s="1"/>
  <c r="R160" i="6"/>
  <c r="N160" i="6"/>
  <c r="I160" i="6"/>
  <c r="I159" i="6" s="1"/>
  <c r="P159" i="6"/>
  <c r="L159" i="6"/>
  <c r="K159" i="6"/>
  <c r="K158" i="6" s="1"/>
  <c r="J159" i="6"/>
  <c r="J158" i="6" s="1"/>
  <c r="R156" i="6"/>
  <c r="N156" i="6"/>
  <c r="O156" i="6" s="1"/>
  <c r="P155" i="6"/>
  <c r="N155" i="6"/>
  <c r="O155" i="6" s="1"/>
  <c r="L155" i="6"/>
  <c r="L154" i="6" s="1"/>
  <c r="K155" i="6"/>
  <c r="J155" i="6"/>
  <c r="J154" i="6" s="1"/>
  <c r="K154" i="6"/>
  <c r="R152" i="6"/>
  <c r="N152" i="6"/>
  <c r="P151" i="6"/>
  <c r="L151" i="6"/>
  <c r="L150" i="6" s="1"/>
  <c r="K150" i="6"/>
  <c r="J151" i="6"/>
  <c r="J150" i="6" s="1"/>
  <c r="R148" i="6"/>
  <c r="N148" i="6"/>
  <c r="O148" i="6" s="1"/>
  <c r="P147" i="6"/>
  <c r="Q147" i="6" s="1"/>
  <c r="L147" i="6"/>
  <c r="K147" i="6"/>
  <c r="K146" i="6" s="1"/>
  <c r="J147" i="6"/>
  <c r="P146" i="6"/>
  <c r="Q146" i="6" s="1"/>
  <c r="L146" i="6"/>
  <c r="R144" i="6"/>
  <c r="N144" i="6"/>
  <c r="O144" i="6" s="1"/>
  <c r="P143" i="6"/>
  <c r="L143" i="6"/>
  <c r="L142" i="6" s="1"/>
  <c r="K143" i="6"/>
  <c r="K142" i="6" s="1"/>
  <c r="J143" i="6"/>
  <c r="R140" i="6"/>
  <c r="N140" i="6"/>
  <c r="I140" i="6"/>
  <c r="I139" i="6" s="1"/>
  <c r="I138" i="6" s="1"/>
  <c r="P139" i="6"/>
  <c r="L139" i="6"/>
  <c r="L138" i="6" s="1"/>
  <c r="K139" i="6"/>
  <c r="K138" i="6" s="1"/>
  <c r="J139" i="6"/>
  <c r="R136" i="6"/>
  <c r="O136" i="6"/>
  <c r="P135" i="6"/>
  <c r="L135" i="6"/>
  <c r="L134" i="6" s="1"/>
  <c r="K135" i="6"/>
  <c r="K134" i="6" s="1"/>
  <c r="J135" i="6"/>
  <c r="I132" i="6"/>
  <c r="I131" i="6" s="1"/>
  <c r="I130" i="6" s="1"/>
  <c r="P131" i="6"/>
  <c r="L131" i="6"/>
  <c r="L130" i="6" s="1"/>
  <c r="K131" i="6"/>
  <c r="K130" i="6" s="1"/>
  <c r="J131" i="6"/>
  <c r="J127" i="6"/>
  <c r="J124" i="6"/>
  <c r="J120" i="6"/>
  <c r="J116" i="6"/>
  <c r="N34" i="5" l="1"/>
  <c r="O34" i="5" s="1"/>
  <c r="K104" i="6"/>
  <c r="P142" i="6"/>
  <c r="Q142" i="6" s="1"/>
  <c r="Q143" i="6"/>
  <c r="P150" i="6"/>
  <c r="Q150" i="6" s="1"/>
  <c r="Q151" i="6"/>
  <c r="P154" i="6"/>
  <c r="Q154" i="6" s="1"/>
  <c r="Q155" i="6"/>
  <c r="P158" i="6"/>
  <c r="Q158" i="6" s="1"/>
  <c r="Q159" i="6"/>
  <c r="N159" i="6"/>
  <c r="O160" i="6"/>
  <c r="P162" i="6"/>
  <c r="Q162" i="6" s="1"/>
  <c r="Q163" i="6"/>
  <c r="N163" i="6"/>
  <c r="O163" i="6" s="1"/>
  <c r="O164" i="6"/>
  <c r="P166" i="6"/>
  <c r="Q166" i="6" s="1"/>
  <c r="Q167" i="6"/>
  <c r="P170" i="6"/>
  <c r="Q170" i="6" s="1"/>
  <c r="Q171" i="6"/>
  <c r="P130" i="6"/>
  <c r="Q130" i="6" s="1"/>
  <c r="Q131" i="6"/>
  <c r="O132" i="6"/>
  <c r="P134" i="6"/>
  <c r="Q134" i="6" s="1"/>
  <c r="Q135" i="6"/>
  <c r="P138" i="6"/>
  <c r="Q138" i="6" s="1"/>
  <c r="Q139" i="6"/>
  <c r="O140" i="6"/>
  <c r="N151" i="6"/>
  <c r="O152" i="6"/>
  <c r="R159" i="6"/>
  <c r="N167" i="6"/>
  <c r="O168" i="6"/>
  <c r="N170" i="6"/>
  <c r="O170" i="6" s="1"/>
  <c r="O171" i="6"/>
  <c r="P107" i="6"/>
  <c r="Q108" i="6"/>
  <c r="N16" i="5"/>
  <c r="R42" i="5"/>
  <c r="R62" i="5"/>
  <c r="R35" i="5"/>
  <c r="N62" i="5"/>
  <c r="O62" i="5" s="1"/>
  <c r="N18" i="5"/>
  <c r="O18" i="5" s="1"/>
  <c r="O19" i="5"/>
  <c r="N14" i="5"/>
  <c r="O15" i="5"/>
  <c r="P41" i="5"/>
  <c r="Q45" i="5"/>
  <c r="N13" i="5"/>
  <c r="O13" i="5" s="1"/>
  <c r="O16" i="5"/>
  <c r="R41" i="5"/>
  <c r="O23" i="5"/>
  <c r="P18" i="5"/>
  <c r="Q19" i="5"/>
  <c r="M60" i="1"/>
  <c r="N60" i="1" s="1"/>
  <c r="O36" i="5"/>
  <c r="Q27" i="5"/>
  <c r="N27" i="5"/>
  <c r="O28" i="5"/>
  <c r="P104" i="6"/>
  <c r="Q104" i="6" s="1"/>
  <c r="M104" i="6"/>
  <c r="N131" i="6"/>
  <c r="O131" i="6" s="1"/>
  <c r="N139" i="6"/>
  <c r="O139" i="6" s="1"/>
  <c r="J126" i="6"/>
  <c r="K107" i="6"/>
  <c r="K106" i="6" s="1"/>
  <c r="N11" i="5"/>
  <c r="O11" i="5" s="1"/>
  <c r="J11" i="5"/>
  <c r="J10" i="5" s="1"/>
  <c r="M11" i="5"/>
  <c r="M10" i="5" s="1"/>
  <c r="I57" i="5"/>
  <c r="I56" i="5" s="1"/>
  <c r="I36" i="5"/>
  <c r="J9" i="4"/>
  <c r="J108" i="6"/>
  <c r="J130" i="6"/>
  <c r="J134" i="6"/>
  <c r="N135" i="6"/>
  <c r="J138" i="6"/>
  <c r="J142" i="6"/>
  <c r="N143" i="6"/>
  <c r="J146" i="6"/>
  <c r="N147" i="6"/>
  <c r="I11" i="5"/>
  <c r="I10" i="5" s="1"/>
  <c r="P11" i="5"/>
  <c r="L11" i="5"/>
  <c r="R14" i="5"/>
  <c r="I168" i="6"/>
  <c r="I167" i="6" s="1"/>
  <c r="I166" i="6" s="1"/>
  <c r="M108" i="6"/>
  <c r="I148" i="6"/>
  <c r="I147" i="6" s="1"/>
  <c r="I146" i="6" s="1"/>
  <c r="I156" i="6"/>
  <c r="I155" i="6" s="1"/>
  <c r="I154" i="6" s="1"/>
  <c r="I172" i="6"/>
  <c r="I171" i="6" s="1"/>
  <c r="I170" i="6" s="1"/>
  <c r="R134" i="6"/>
  <c r="I136" i="6"/>
  <c r="I135" i="6" s="1"/>
  <c r="I134" i="6" s="1"/>
  <c r="I144" i="6"/>
  <c r="I143" i="6" s="1"/>
  <c r="I142" i="6" s="1"/>
  <c r="I152" i="6"/>
  <c r="I151" i="6" s="1"/>
  <c r="I150" i="6" s="1"/>
  <c r="R166" i="6"/>
  <c r="R130" i="6"/>
  <c r="R170" i="6"/>
  <c r="R171" i="6"/>
  <c r="R167" i="6"/>
  <c r="R162" i="6"/>
  <c r="R163" i="6"/>
  <c r="N162" i="6"/>
  <c r="O162" i="6" s="1"/>
  <c r="L158" i="6"/>
  <c r="R158" i="6" s="1"/>
  <c r="R155" i="6"/>
  <c r="R154" i="6"/>
  <c r="N154" i="6"/>
  <c r="O154" i="6" s="1"/>
  <c r="R150" i="6"/>
  <c r="R151" i="6"/>
  <c r="R146" i="6"/>
  <c r="R147" i="6"/>
  <c r="R142" i="6"/>
  <c r="R143" i="6"/>
  <c r="R138" i="6"/>
  <c r="R139" i="6"/>
  <c r="N138" i="6"/>
  <c r="O138" i="6" s="1"/>
  <c r="R131" i="6"/>
  <c r="R135" i="6"/>
  <c r="I158" i="6"/>
  <c r="N130" i="6"/>
  <c r="J15" i="6"/>
  <c r="K15" i="6"/>
  <c r="K111" i="6"/>
  <c r="P23" i="6"/>
  <c r="K23" i="6"/>
  <c r="P21" i="6"/>
  <c r="K21" i="6"/>
  <c r="K20" i="6" s="1"/>
  <c r="L21" i="6"/>
  <c r="L20" i="6" s="1"/>
  <c r="P18" i="6"/>
  <c r="Q18" i="6" s="1"/>
  <c r="K18" i="6"/>
  <c r="K17" i="6" s="1"/>
  <c r="P16" i="6"/>
  <c r="Q16" i="6" s="1"/>
  <c r="K16" i="6"/>
  <c r="L16" i="6"/>
  <c r="P15" i="6"/>
  <c r="Q15" i="6" s="1"/>
  <c r="L15" i="6"/>
  <c r="M15" i="6"/>
  <c r="L100" i="6"/>
  <c r="L99" i="6" s="1"/>
  <c r="K100" i="6"/>
  <c r="K99" i="6" s="1"/>
  <c r="J100" i="6"/>
  <c r="L97" i="6"/>
  <c r="K97" i="6"/>
  <c r="J97" i="6"/>
  <c r="L95" i="6"/>
  <c r="K95" i="6"/>
  <c r="J95" i="6"/>
  <c r="L91" i="6"/>
  <c r="K91" i="6"/>
  <c r="J91" i="6"/>
  <c r="L89" i="6"/>
  <c r="K89" i="6"/>
  <c r="J89" i="6"/>
  <c r="J86" i="6"/>
  <c r="J84" i="6"/>
  <c r="R92" i="6"/>
  <c r="N92" i="6"/>
  <c r="I92" i="6"/>
  <c r="I91" i="6" s="1"/>
  <c r="P91" i="6"/>
  <c r="M91" i="6"/>
  <c r="R90" i="6"/>
  <c r="N90" i="6"/>
  <c r="I90" i="6"/>
  <c r="I89" i="6" s="1"/>
  <c r="P89" i="6"/>
  <c r="Q89" i="6" s="1"/>
  <c r="M89" i="6"/>
  <c r="R87" i="6"/>
  <c r="I86" i="6"/>
  <c r="P86" i="6"/>
  <c r="Q86" i="6" s="1"/>
  <c r="M86" i="6"/>
  <c r="L86" i="6"/>
  <c r="K86" i="6"/>
  <c r="R85" i="6"/>
  <c r="I85" i="6"/>
  <c r="I84" i="6" s="1"/>
  <c r="P84" i="6"/>
  <c r="Q84" i="6" s="1"/>
  <c r="M84" i="6"/>
  <c r="L84" i="6"/>
  <c r="K84" i="6"/>
  <c r="R82" i="6"/>
  <c r="M81" i="6"/>
  <c r="M80" i="6" s="1"/>
  <c r="M79" i="6" s="1"/>
  <c r="J81" i="6"/>
  <c r="M78" i="6"/>
  <c r="M77" i="6" s="1"/>
  <c r="M76" i="6" s="1"/>
  <c r="J78" i="6"/>
  <c r="M74" i="6"/>
  <c r="M73" i="6" s="1"/>
  <c r="M72" i="6" s="1"/>
  <c r="J74" i="6"/>
  <c r="J71" i="6"/>
  <c r="M71" i="6"/>
  <c r="R81" i="6"/>
  <c r="P80" i="6"/>
  <c r="L80" i="6"/>
  <c r="L79" i="6" s="1"/>
  <c r="K80" i="6"/>
  <c r="K79" i="6" s="1"/>
  <c r="R78" i="6"/>
  <c r="P77" i="6"/>
  <c r="L77" i="6"/>
  <c r="L76" i="6" s="1"/>
  <c r="K77" i="6"/>
  <c r="K76" i="6" s="1"/>
  <c r="R75" i="6"/>
  <c r="R74" i="6"/>
  <c r="P73" i="6"/>
  <c r="L73" i="6"/>
  <c r="L72" i="6" s="1"/>
  <c r="K73" i="6"/>
  <c r="K72" i="6" s="1"/>
  <c r="R71" i="6"/>
  <c r="P70" i="6"/>
  <c r="M70" i="6"/>
  <c r="M69" i="6" s="1"/>
  <c r="L70" i="6"/>
  <c r="L69" i="6" s="1"/>
  <c r="K70" i="6"/>
  <c r="K69" i="6" s="1"/>
  <c r="R68" i="6"/>
  <c r="M34" i="6"/>
  <c r="L34" i="6"/>
  <c r="R34" i="6" s="1"/>
  <c r="J34" i="6"/>
  <c r="M29" i="6"/>
  <c r="L29" i="6"/>
  <c r="R29" i="6" s="1"/>
  <c r="J29" i="6"/>
  <c r="N29" i="6" s="1"/>
  <c r="M32" i="6"/>
  <c r="M21" i="6" s="1"/>
  <c r="M20" i="6" s="1"/>
  <c r="J32" i="6"/>
  <c r="M27" i="6"/>
  <c r="M16" i="6" s="1"/>
  <c r="J27" i="6"/>
  <c r="N27" i="6" s="1"/>
  <c r="N34" i="6"/>
  <c r="R32" i="6"/>
  <c r="R27" i="6"/>
  <c r="R67" i="6"/>
  <c r="N67" i="6"/>
  <c r="I67" i="6"/>
  <c r="I66" i="6" s="1"/>
  <c r="P66" i="6"/>
  <c r="M66" i="6"/>
  <c r="L66" i="6"/>
  <c r="K66" i="6"/>
  <c r="J66" i="6"/>
  <c r="R65" i="6"/>
  <c r="N65" i="6"/>
  <c r="I65" i="6"/>
  <c r="I64" i="6" s="1"/>
  <c r="P64" i="6"/>
  <c r="M64" i="6"/>
  <c r="M63" i="6" s="1"/>
  <c r="L64" i="6"/>
  <c r="K64" i="6"/>
  <c r="K63" i="6" s="1"/>
  <c r="J64" i="6"/>
  <c r="P63" i="6"/>
  <c r="R62" i="6"/>
  <c r="N62" i="6"/>
  <c r="I62" i="6"/>
  <c r="P61" i="6"/>
  <c r="M61" i="6"/>
  <c r="L61" i="6"/>
  <c r="K61" i="6"/>
  <c r="J61" i="6"/>
  <c r="I61" i="6"/>
  <c r="R60" i="6"/>
  <c r="N60" i="6"/>
  <c r="I60" i="6"/>
  <c r="P59" i="6"/>
  <c r="M59" i="6"/>
  <c r="L59" i="6"/>
  <c r="K59" i="6"/>
  <c r="J59" i="6"/>
  <c r="I59" i="6"/>
  <c r="J58" i="6"/>
  <c r="R56" i="6"/>
  <c r="N56" i="6"/>
  <c r="O56" i="6" s="1"/>
  <c r="P55" i="6"/>
  <c r="M55" i="6"/>
  <c r="L55" i="6"/>
  <c r="K55" i="6"/>
  <c r="J55" i="6"/>
  <c r="R54" i="6"/>
  <c r="J54" i="6"/>
  <c r="P53" i="6"/>
  <c r="P52" i="6" s="1"/>
  <c r="M53" i="6"/>
  <c r="L53" i="6"/>
  <c r="L52" i="6" s="1"/>
  <c r="K53" i="6"/>
  <c r="R51" i="6"/>
  <c r="J51" i="6"/>
  <c r="P50" i="6"/>
  <c r="M50" i="6"/>
  <c r="L50" i="6"/>
  <c r="K50" i="6"/>
  <c r="J50" i="6"/>
  <c r="R49" i="6"/>
  <c r="J49" i="6"/>
  <c r="J48" i="6" s="1"/>
  <c r="J47" i="6" s="1"/>
  <c r="P48" i="6"/>
  <c r="M48" i="6"/>
  <c r="M47" i="6" s="1"/>
  <c r="L48" i="6"/>
  <c r="K48" i="6"/>
  <c r="K47" i="6" s="1"/>
  <c r="P47" i="6"/>
  <c r="L47" i="6"/>
  <c r="R57" i="6"/>
  <c r="R46" i="6"/>
  <c r="K39" i="6"/>
  <c r="R38" i="6"/>
  <c r="R40" i="6"/>
  <c r="R43" i="6"/>
  <c r="R45" i="6"/>
  <c r="R112" i="6"/>
  <c r="R116" i="6"/>
  <c r="R120" i="6"/>
  <c r="R124" i="6"/>
  <c r="R93" i="6"/>
  <c r="R96" i="6"/>
  <c r="R98" i="6"/>
  <c r="R101" i="6"/>
  <c r="R128" i="6"/>
  <c r="R108" i="6"/>
  <c r="M44" i="6"/>
  <c r="N45" i="6"/>
  <c r="P44" i="6"/>
  <c r="L44" i="6"/>
  <c r="K44" i="6"/>
  <c r="J44" i="6"/>
  <c r="M42" i="6"/>
  <c r="N43" i="6"/>
  <c r="P42" i="6"/>
  <c r="L42" i="6"/>
  <c r="L41" i="6" s="1"/>
  <c r="K42" i="6"/>
  <c r="K41" i="6" s="1"/>
  <c r="J42" i="6"/>
  <c r="N40" i="6"/>
  <c r="P39" i="6"/>
  <c r="M39" i="6"/>
  <c r="L39" i="6"/>
  <c r="R39" i="6" s="1"/>
  <c r="M37" i="6"/>
  <c r="P37" i="6"/>
  <c r="L37" i="6"/>
  <c r="K37" i="6"/>
  <c r="J37" i="6"/>
  <c r="P11" i="7"/>
  <c r="P9" i="7" s="1"/>
  <c r="Q9" i="7" s="1"/>
  <c r="K11" i="7"/>
  <c r="K9" i="7" s="1"/>
  <c r="L11" i="7"/>
  <c r="M11" i="7"/>
  <c r="P15" i="7"/>
  <c r="K15" i="7"/>
  <c r="J57" i="1" s="1"/>
  <c r="L15" i="7"/>
  <c r="K57" i="1" s="1"/>
  <c r="M15" i="7"/>
  <c r="L57" i="1" s="1"/>
  <c r="J72" i="7"/>
  <c r="J58" i="7"/>
  <c r="J52" i="7"/>
  <c r="J47" i="7"/>
  <c r="J36" i="7"/>
  <c r="J11" i="7" s="1"/>
  <c r="J9" i="7" s="1"/>
  <c r="J35" i="7"/>
  <c r="R26" i="7"/>
  <c r="R28" i="7"/>
  <c r="R31" i="7"/>
  <c r="R35" i="7"/>
  <c r="R36" i="7"/>
  <c r="R38" i="7"/>
  <c r="R41" i="7"/>
  <c r="R43" i="7"/>
  <c r="R47" i="7"/>
  <c r="R49" i="7"/>
  <c r="R52" i="7"/>
  <c r="R54" i="7"/>
  <c r="R62" i="7"/>
  <c r="R65" i="7"/>
  <c r="R69" i="7"/>
  <c r="R70" i="7"/>
  <c r="R72" i="7"/>
  <c r="R75" i="7"/>
  <c r="R77" i="7"/>
  <c r="R78" i="7"/>
  <c r="R81" i="7"/>
  <c r="R82" i="7"/>
  <c r="R84" i="7"/>
  <c r="R87" i="7"/>
  <c r="R89" i="7"/>
  <c r="L25" i="7"/>
  <c r="J25" i="7"/>
  <c r="M9" i="7"/>
  <c r="L9" i="7"/>
  <c r="L20" i="8"/>
  <c r="R228" i="8"/>
  <c r="P58" i="8"/>
  <c r="L58" i="8"/>
  <c r="M58" i="8"/>
  <c r="O57" i="1" l="1"/>
  <c r="P57" i="1" s="1"/>
  <c r="Q15" i="7"/>
  <c r="R11" i="7"/>
  <c r="Q11" i="7"/>
  <c r="O29" i="6"/>
  <c r="O40" i="6"/>
  <c r="O60" i="6"/>
  <c r="O67" i="6"/>
  <c r="O27" i="6"/>
  <c r="P69" i="6"/>
  <c r="Q69" i="6" s="1"/>
  <c r="Q70" i="6"/>
  <c r="P72" i="6"/>
  <c r="Q72" i="6" s="1"/>
  <c r="Q73" i="6"/>
  <c r="N150" i="6"/>
  <c r="O151" i="6"/>
  <c r="O43" i="6"/>
  <c r="O45" i="6"/>
  <c r="K52" i="6"/>
  <c r="M52" i="6"/>
  <c r="I58" i="6"/>
  <c r="K58" i="6"/>
  <c r="M58" i="6"/>
  <c r="L58" i="6"/>
  <c r="O62" i="6"/>
  <c r="O65" i="6"/>
  <c r="N66" i="6"/>
  <c r="O66" i="6" s="1"/>
  <c r="P76" i="6"/>
  <c r="Q76" i="6" s="1"/>
  <c r="Q77" i="6"/>
  <c r="P79" i="6"/>
  <c r="Q79" i="6" s="1"/>
  <c r="Q80" i="6"/>
  <c r="O130" i="6"/>
  <c r="N146" i="6"/>
  <c r="O146" i="6" s="1"/>
  <c r="O147" i="6"/>
  <c r="N142" i="6"/>
  <c r="O142" i="6" s="1"/>
  <c r="O143" i="6"/>
  <c r="N134" i="6"/>
  <c r="O134" i="6" s="1"/>
  <c r="O135" i="6"/>
  <c r="P106" i="6"/>
  <c r="Q106" i="6" s="1"/>
  <c r="Q107" i="6"/>
  <c r="N166" i="6"/>
  <c r="O166" i="6" s="1"/>
  <c r="O167" i="6"/>
  <c r="N158" i="6"/>
  <c r="O158" i="6" s="1"/>
  <c r="O159" i="6"/>
  <c r="R91" i="6"/>
  <c r="Q91" i="6"/>
  <c r="O92" i="6"/>
  <c r="O90" i="6"/>
  <c r="O34" i="6"/>
  <c r="P22" i="6"/>
  <c r="Q22" i="6" s="1"/>
  <c r="Q23" i="6"/>
  <c r="P20" i="6"/>
  <c r="Q20" i="6" s="1"/>
  <c r="Q21" i="6"/>
  <c r="O27" i="5"/>
  <c r="Q18" i="5"/>
  <c r="R18" i="5"/>
  <c r="P10" i="5"/>
  <c r="Q10" i="5" s="1"/>
  <c r="Q11" i="5"/>
  <c r="Q41" i="5"/>
  <c r="N41" i="5"/>
  <c r="O41" i="5" s="1"/>
  <c r="O14" i="5"/>
  <c r="P58" i="6"/>
  <c r="L63" i="6"/>
  <c r="N64" i="6"/>
  <c r="I63" i="6"/>
  <c r="I104" i="6"/>
  <c r="J15" i="7"/>
  <c r="I57" i="1" s="1"/>
  <c r="Q57" i="1"/>
  <c r="J41" i="6"/>
  <c r="N49" i="6"/>
  <c r="N51" i="6"/>
  <c r="N71" i="6"/>
  <c r="I78" i="6"/>
  <c r="I77" i="6" s="1"/>
  <c r="I76" i="6" s="1"/>
  <c r="J99" i="6"/>
  <c r="K110" i="6"/>
  <c r="M107" i="6"/>
  <c r="M106" i="6" s="1"/>
  <c r="J107" i="6"/>
  <c r="N54" i="6"/>
  <c r="N55" i="6"/>
  <c r="N59" i="6"/>
  <c r="N61" i="6"/>
  <c r="J63" i="6"/>
  <c r="N32" i="6"/>
  <c r="N74" i="6"/>
  <c r="N78" i="6"/>
  <c r="J80" i="6"/>
  <c r="J104" i="6"/>
  <c r="H60" i="1"/>
  <c r="N10" i="5"/>
  <c r="O10" i="5" s="1"/>
  <c r="L104" i="6"/>
  <c r="R104" i="6" s="1"/>
  <c r="K22" i="6"/>
  <c r="K19" i="6" s="1"/>
  <c r="M23" i="6"/>
  <c r="M22" i="6" s="1"/>
  <c r="I71" i="6"/>
  <c r="I70" i="6" s="1"/>
  <c r="I69" i="6" s="1"/>
  <c r="J70" i="6"/>
  <c r="J83" i="6"/>
  <c r="J88" i="6"/>
  <c r="L88" i="6"/>
  <c r="J94" i="6"/>
  <c r="L94" i="6"/>
  <c r="K36" i="6"/>
  <c r="R16" i="6"/>
  <c r="I74" i="6"/>
  <c r="I73" i="6" s="1"/>
  <c r="I72" i="6" s="1"/>
  <c r="K94" i="6"/>
  <c r="K12" i="6" s="1"/>
  <c r="M88" i="6"/>
  <c r="K88" i="6"/>
  <c r="I88" i="6"/>
  <c r="M83" i="6"/>
  <c r="M18" i="6"/>
  <c r="M17" i="6" s="1"/>
  <c r="J73" i="6"/>
  <c r="J77" i="6"/>
  <c r="N91" i="6"/>
  <c r="O91" i="6" s="1"/>
  <c r="I81" i="6"/>
  <c r="I80" i="6" s="1"/>
  <c r="I79" i="6" s="1"/>
  <c r="J18" i="6"/>
  <c r="J17" i="6" s="1"/>
  <c r="J23" i="6"/>
  <c r="M19" i="6"/>
  <c r="L18" i="6"/>
  <c r="L17" i="6" s="1"/>
  <c r="P17" i="6"/>
  <c r="Q17" i="6" s="1"/>
  <c r="J16" i="6"/>
  <c r="J21" i="6"/>
  <c r="J20" i="6" s="1"/>
  <c r="L23" i="6"/>
  <c r="P19" i="6"/>
  <c r="Q19" i="6" s="1"/>
  <c r="N81" i="6"/>
  <c r="K83" i="6"/>
  <c r="I83" i="6"/>
  <c r="N89" i="6"/>
  <c r="O89" i="6" s="1"/>
  <c r="N86" i="6"/>
  <c r="O86" i="6" s="1"/>
  <c r="N84" i="6"/>
  <c r="O84" i="6" s="1"/>
  <c r="L83" i="6"/>
  <c r="R84" i="6"/>
  <c r="R86" i="6"/>
  <c r="R89" i="6"/>
  <c r="P83" i="6"/>
  <c r="Q83" i="6" s="1"/>
  <c r="P88" i="6"/>
  <c r="R70" i="6"/>
  <c r="R79" i="6"/>
  <c r="R80" i="6"/>
  <c r="R77" i="6"/>
  <c r="R72" i="6"/>
  <c r="R73" i="6"/>
  <c r="R69" i="6"/>
  <c r="R76" i="6"/>
  <c r="I56" i="6"/>
  <c r="I55" i="6" s="1"/>
  <c r="R63" i="6"/>
  <c r="R64" i="6"/>
  <c r="R55" i="6"/>
  <c r="R58" i="6"/>
  <c r="R59" i="6"/>
  <c r="R61" i="6"/>
  <c r="R66" i="6"/>
  <c r="R48" i="6"/>
  <c r="I49" i="6"/>
  <c r="I48" i="6" s="1"/>
  <c r="R50" i="6"/>
  <c r="I51" i="6"/>
  <c r="I50" i="6" s="1"/>
  <c r="J53" i="6"/>
  <c r="R53" i="6"/>
  <c r="R47" i="6"/>
  <c r="R52" i="6"/>
  <c r="N48" i="6"/>
  <c r="N50" i="6"/>
  <c r="N53" i="6"/>
  <c r="O53" i="6" s="1"/>
  <c r="I54" i="6"/>
  <c r="I53" i="6" s="1"/>
  <c r="M41" i="6"/>
  <c r="R44" i="6"/>
  <c r="M36" i="6"/>
  <c r="R37" i="6"/>
  <c r="R42" i="6"/>
  <c r="L36" i="6"/>
  <c r="L12" i="6" s="1"/>
  <c r="I43" i="6"/>
  <c r="I42" i="6" s="1"/>
  <c r="I32" i="6"/>
  <c r="I34" i="6"/>
  <c r="I45" i="6"/>
  <c r="I44" i="6" s="1"/>
  <c r="I38" i="6"/>
  <c r="I37" i="6" s="1"/>
  <c r="P36" i="6"/>
  <c r="J39" i="6"/>
  <c r="I40" i="6"/>
  <c r="I39" i="6" s="1"/>
  <c r="P41" i="6"/>
  <c r="N42" i="6"/>
  <c r="N44" i="6"/>
  <c r="N39" i="6"/>
  <c r="O39" i="6" s="1"/>
  <c r="N38" i="6"/>
  <c r="O38" i="6" s="1"/>
  <c r="R9" i="7"/>
  <c r="R30" i="10"/>
  <c r="N30" i="10"/>
  <c r="M30" i="10"/>
  <c r="I30" i="10" s="1"/>
  <c r="P29" i="10"/>
  <c r="Q29" i="10" s="1"/>
  <c r="N29" i="10"/>
  <c r="O29" i="10" s="1"/>
  <c r="L29" i="10"/>
  <c r="R29" i="10" s="1"/>
  <c r="K29" i="10"/>
  <c r="J29" i="10"/>
  <c r="P28" i="10"/>
  <c r="N28" i="10"/>
  <c r="L28" i="10"/>
  <c r="K28" i="10"/>
  <c r="J28" i="10"/>
  <c r="R27" i="10"/>
  <c r="N27" i="10"/>
  <c r="N26" i="10" s="1"/>
  <c r="I27" i="10"/>
  <c r="P26" i="10"/>
  <c r="M26" i="10"/>
  <c r="L26" i="10"/>
  <c r="K26" i="10"/>
  <c r="J26" i="10"/>
  <c r="I26" i="10"/>
  <c r="R25" i="10"/>
  <c r="N25" i="10"/>
  <c r="I25" i="10"/>
  <c r="P24" i="10"/>
  <c r="M24" i="10"/>
  <c r="L24" i="10"/>
  <c r="K24" i="10"/>
  <c r="J24" i="10"/>
  <c r="I24" i="10"/>
  <c r="P23" i="10"/>
  <c r="M23" i="10"/>
  <c r="L23" i="10"/>
  <c r="K23" i="10"/>
  <c r="J23" i="10"/>
  <c r="I23" i="10"/>
  <c r="P21" i="10"/>
  <c r="Q21" i="10" s="1"/>
  <c r="N21" i="10"/>
  <c r="O21" i="10" s="1"/>
  <c r="M21" i="10"/>
  <c r="L21" i="10"/>
  <c r="K21" i="10"/>
  <c r="J21" i="10"/>
  <c r="P20" i="10"/>
  <c r="Q20" i="10" s="1"/>
  <c r="N20" i="10"/>
  <c r="O20" i="10" s="1"/>
  <c r="M20" i="10"/>
  <c r="M19" i="10" s="1"/>
  <c r="L20" i="10"/>
  <c r="L19" i="10" s="1"/>
  <c r="K20" i="10"/>
  <c r="J20" i="10"/>
  <c r="J19" i="10" s="1"/>
  <c r="P19" i="10"/>
  <c r="Q19" i="10" s="1"/>
  <c r="N19" i="10"/>
  <c r="O19" i="10" s="1"/>
  <c r="K19" i="10"/>
  <c r="P18" i="10"/>
  <c r="P17" i="10" s="1"/>
  <c r="N18" i="10"/>
  <c r="N17" i="10" s="1"/>
  <c r="M18" i="10"/>
  <c r="M17" i="10" s="1"/>
  <c r="L18" i="10"/>
  <c r="K18" i="10"/>
  <c r="K17" i="10" s="1"/>
  <c r="J18" i="10"/>
  <c r="I18" i="10"/>
  <c r="I17" i="10" s="1"/>
  <c r="L17" i="10"/>
  <c r="J17" i="10"/>
  <c r="P16" i="10"/>
  <c r="P15" i="10" s="1"/>
  <c r="N16" i="10"/>
  <c r="M16" i="10"/>
  <c r="M15" i="10" s="1"/>
  <c r="L16" i="10"/>
  <c r="L15" i="10" s="1"/>
  <c r="K16" i="10"/>
  <c r="J16" i="10"/>
  <c r="I16" i="10"/>
  <c r="I15" i="10" s="1"/>
  <c r="K15" i="10"/>
  <c r="P12" i="10"/>
  <c r="M12" i="10"/>
  <c r="L12" i="10"/>
  <c r="K12" i="10"/>
  <c r="J12" i="10"/>
  <c r="J11" i="10" s="1"/>
  <c r="I12" i="10"/>
  <c r="P11" i="10"/>
  <c r="M11" i="10"/>
  <c r="K11" i="10"/>
  <c r="I11" i="10"/>
  <c r="R71" i="9"/>
  <c r="J71" i="9"/>
  <c r="N71" i="9" s="1"/>
  <c r="R70" i="9"/>
  <c r="P70" i="9"/>
  <c r="M70" i="9"/>
  <c r="L70" i="9"/>
  <c r="K70" i="9"/>
  <c r="J70" i="9"/>
  <c r="R69" i="9"/>
  <c r="P69" i="9"/>
  <c r="M69" i="9"/>
  <c r="L69" i="9"/>
  <c r="K69" i="9"/>
  <c r="J69" i="9"/>
  <c r="R68" i="9"/>
  <c r="R67" i="9" s="1"/>
  <c r="R66" i="9" s="1"/>
  <c r="R65" i="9" s="1"/>
  <c r="R64" i="9" s="1"/>
  <c r="R63" i="9" s="1"/>
  <c r="R62" i="9" s="1"/>
  <c r="P67" i="9"/>
  <c r="O54" i="1" s="1"/>
  <c r="P54" i="1" s="1"/>
  <c r="M67" i="9"/>
  <c r="L54" i="1" s="1"/>
  <c r="L67" i="9"/>
  <c r="K54" i="1" s="1"/>
  <c r="K67" i="9"/>
  <c r="J54" i="1" s="1"/>
  <c r="J67" i="9"/>
  <c r="P66" i="9"/>
  <c r="P65" i="9" s="1"/>
  <c r="L66" i="9"/>
  <c r="L65" i="9" s="1"/>
  <c r="J66" i="9"/>
  <c r="J65" i="9" s="1"/>
  <c r="M64" i="9"/>
  <c r="L64" i="9"/>
  <c r="K64" i="9"/>
  <c r="J64" i="9"/>
  <c r="P63" i="9"/>
  <c r="O50" i="1" s="1"/>
  <c r="P50" i="1" s="1"/>
  <c r="N63" i="9"/>
  <c r="M63" i="9"/>
  <c r="L63" i="9"/>
  <c r="L62" i="9" s="1"/>
  <c r="K63" i="9"/>
  <c r="J63" i="9"/>
  <c r="J62" i="9" s="1"/>
  <c r="I63" i="9"/>
  <c r="H50" i="1" s="1"/>
  <c r="P62" i="9"/>
  <c r="R60" i="9"/>
  <c r="N60" i="9"/>
  <c r="I60" i="9"/>
  <c r="D60" i="9"/>
  <c r="P59" i="9"/>
  <c r="Q59" i="9" s="1"/>
  <c r="N59" i="9"/>
  <c r="M59" i="9"/>
  <c r="M58" i="9" s="1"/>
  <c r="L59" i="9"/>
  <c r="L58" i="9" s="1"/>
  <c r="K59" i="9"/>
  <c r="K58" i="9" s="1"/>
  <c r="J59" i="9"/>
  <c r="D59" i="9"/>
  <c r="D58" i="9"/>
  <c r="R57" i="9"/>
  <c r="N57" i="9"/>
  <c r="I57" i="9"/>
  <c r="I56" i="9" s="1"/>
  <c r="I55" i="9" s="1"/>
  <c r="I13" i="9" s="1"/>
  <c r="P56" i="9"/>
  <c r="Q56" i="9" s="1"/>
  <c r="M56" i="9"/>
  <c r="M55" i="9" s="1"/>
  <c r="M13" i="9" s="1"/>
  <c r="L56" i="9"/>
  <c r="K56" i="9"/>
  <c r="K55" i="9" s="1"/>
  <c r="K13" i="9" s="1"/>
  <c r="J56" i="9"/>
  <c r="P55" i="9"/>
  <c r="Q55" i="9" s="1"/>
  <c r="L55" i="9"/>
  <c r="J55" i="9"/>
  <c r="R53" i="9"/>
  <c r="N53" i="9"/>
  <c r="I53" i="9"/>
  <c r="P52" i="9"/>
  <c r="M52" i="9"/>
  <c r="M51" i="9" s="1"/>
  <c r="L52" i="9"/>
  <c r="J52" i="9"/>
  <c r="J51" i="9" s="1"/>
  <c r="L51" i="9"/>
  <c r="R50" i="9"/>
  <c r="N50" i="9"/>
  <c r="I50" i="9"/>
  <c r="I49" i="9" s="1"/>
  <c r="I48" i="9" s="1"/>
  <c r="P49" i="9"/>
  <c r="M49" i="9"/>
  <c r="L49" i="9"/>
  <c r="J49" i="9"/>
  <c r="P48" i="9"/>
  <c r="M48" i="9"/>
  <c r="L48" i="9"/>
  <c r="J48" i="9"/>
  <c r="R46" i="9"/>
  <c r="N46" i="9"/>
  <c r="I46" i="9"/>
  <c r="P45" i="9"/>
  <c r="N45" i="9"/>
  <c r="M45" i="9"/>
  <c r="L45" i="9"/>
  <c r="J45" i="9"/>
  <c r="I45" i="9"/>
  <c r="P44" i="9"/>
  <c r="N44" i="9"/>
  <c r="M44" i="9"/>
  <c r="L44" i="9"/>
  <c r="J44" i="9"/>
  <c r="R43" i="9"/>
  <c r="N43" i="9"/>
  <c r="I43" i="9"/>
  <c r="I42" i="9" s="1"/>
  <c r="I41" i="9" s="1"/>
  <c r="P42" i="9"/>
  <c r="M42" i="9"/>
  <c r="L42" i="9"/>
  <c r="J42" i="9"/>
  <c r="P41" i="9"/>
  <c r="M41" i="9"/>
  <c r="R39" i="9"/>
  <c r="N39" i="9"/>
  <c r="M39" i="9"/>
  <c r="I39" i="9"/>
  <c r="P38" i="9"/>
  <c r="M38" i="9"/>
  <c r="M37" i="9" s="1"/>
  <c r="L38" i="9"/>
  <c r="I38" i="9"/>
  <c r="L37" i="9"/>
  <c r="R36" i="9"/>
  <c r="N36" i="9"/>
  <c r="I36" i="9"/>
  <c r="P35" i="9"/>
  <c r="M35" i="9"/>
  <c r="L35" i="9"/>
  <c r="I35" i="9" s="1"/>
  <c r="R34" i="9"/>
  <c r="N34" i="9"/>
  <c r="I34" i="9"/>
  <c r="P33" i="9"/>
  <c r="M33" i="9"/>
  <c r="M32" i="9" s="1"/>
  <c r="M12" i="9" s="1"/>
  <c r="M11" i="9" s="1"/>
  <c r="L33" i="9"/>
  <c r="P32" i="9"/>
  <c r="R30" i="9"/>
  <c r="N30" i="9"/>
  <c r="I30" i="9"/>
  <c r="P29" i="9"/>
  <c r="P28" i="9" s="1"/>
  <c r="M29" i="9"/>
  <c r="L29" i="9"/>
  <c r="L28" i="9" s="1"/>
  <c r="J29" i="9"/>
  <c r="I29" i="9"/>
  <c r="I28" i="9" s="1"/>
  <c r="M28" i="9"/>
  <c r="J28" i="9"/>
  <c r="R27" i="9"/>
  <c r="N27" i="9"/>
  <c r="N18" i="9" s="1"/>
  <c r="I27" i="9"/>
  <c r="P26" i="9"/>
  <c r="M26" i="9"/>
  <c r="L26" i="9"/>
  <c r="J26" i="9"/>
  <c r="I26" i="9"/>
  <c r="R25" i="9"/>
  <c r="I25" i="9"/>
  <c r="I16" i="9" s="1"/>
  <c r="I15" i="9" s="1"/>
  <c r="P24" i="9"/>
  <c r="N24" i="9"/>
  <c r="M24" i="9"/>
  <c r="M23" i="9" s="1"/>
  <c r="L24" i="9"/>
  <c r="L23" i="9" s="1"/>
  <c r="J24" i="9"/>
  <c r="J23" i="9" s="1"/>
  <c r="I24" i="9"/>
  <c r="I23" i="9" s="1"/>
  <c r="P21" i="9"/>
  <c r="P20" i="9" s="1"/>
  <c r="P19" i="9" s="1"/>
  <c r="M21" i="9"/>
  <c r="L21" i="9"/>
  <c r="K21" i="9"/>
  <c r="J21" i="9"/>
  <c r="I21" i="9"/>
  <c r="I20" i="9" s="1"/>
  <c r="I19" i="9" s="1"/>
  <c r="M20" i="9"/>
  <c r="L20" i="9"/>
  <c r="K20" i="9"/>
  <c r="K19" i="9" s="1"/>
  <c r="J20" i="9"/>
  <c r="J19" i="9" s="1"/>
  <c r="M19" i="9"/>
  <c r="P18" i="9"/>
  <c r="M18" i="9"/>
  <c r="M17" i="9" s="1"/>
  <c r="L18" i="9"/>
  <c r="L17" i="9" s="1"/>
  <c r="K18" i="9"/>
  <c r="K17" i="9" s="1"/>
  <c r="J18" i="9"/>
  <c r="J17" i="9" s="1"/>
  <c r="I18" i="9"/>
  <c r="I17" i="9" s="1"/>
  <c r="P16" i="9"/>
  <c r="N16" i="9"/>
  <c r="M16" i="9"/>
  <c r="M15" i="9" s="1"/>
  <c r="L16" i="9"/>
  <c r="L15" i="9" s="1"/>
  <c r="L14" i="9" s="1"/>
  <c r="K16" i="9"/>
  <c r="J16" i="9"/>
  <c r="N15" i="9"/>
  <c r="J15" i="9"/>
  <c r="J14" i="9" s="1"/>
  <c r="P13" i="9"/>
  <c r="Q13" i="9" s="1"/>
  <c r="L13" i="9"/>
  <c r="J13" i="9"/>
  <c r="K12" i="9"/>
  <c r="R254" i="8"/>
  <c r="Q254" i="8"/>
  <c r="I254" i="8"/>
  <c r="R253" i="8"/>
  <c r="I253" i="8"/>
  <c r="I252" i="8" s="1"/>
  <c r="I251" i="8" s="1"/>
  <c r="P252" i="8"/>
  <c r="M252" i="8"/>
  <c r="L252" i="8"/>
  <c r="L251" i="8" s="1"/>
  <c r="K252" i="8"/>
  <c r="K251" i="8" s="1"/>
  <c r="J252" i="8"/>
  <c r="J251" i="8" s="1"/>
  <c r="M251" i="8"/>
  <c r="R250" i="8"/>
  <c r="I250" i="8"/>
  <c r="R249" i="8"/>
  <c r="I249" i="8"/>
  <c r="P248" i="8"/>
  <c r="M248" i="8"/>
  <c r="M247" i="8" s="1"/>
  <c r="M229" i="8" s="1"/>
  <c r="M227" i="8" s="1"/>
  <c r="L248" i="8"/>
  <c r="L247" i="8" s="1"/>
  <c r="K248" i="8"/>
  <c r="J248" i="8"/>
  <c r="J247" i="8" s="1"/>
  <c r="I248" i="8"/>
  <c r="I247" i="8" s="1"/>
  <c r="K247" i="8"/>
  <c r="R245" i="8"/>
  <c r="J245" i="8"/>
  <c r="P244" i="8"/>
  <c r="M244" i="8"/>
  <c r="M243" i="8" s="1"/>
  <c r="L244" i="8"/>
  <c r="K244" i="8"/>
  <c r="L243" i="8"/>
  <c r="K243" i="8"/>
  <c r="R242" i="8"/>
  <c r="J242" i="8"/>
  <c r="N242" i="8" s="1"/>
  <c r="T242" i="8" s="1"/>
  <c r="P241" i="8"/>
  <c r="M241" i="8"/>
  <c r="L241" i="8"/>
  <c r="K241" i="8"/>
  <c r="P240" i="8"/>
  <c r="M240" i="8"/>
  <c r="L240" i="8"/>
  <c r="K240" i="8"/>
  <c r="J240" i="8"/>
  <c r="M238" i="8"/>
  <c r="L68" i="1" s="1"/>
  <c r="L238" i="8"/>
  <c r="K68" i="1" s="1"/>
  <c r="K238" i="8"/>
  <c r="J68" i="1" s="1"/>
  <c r="J238" i="8"/>
  <c r="I68" i="1" s="1"/>
  <c r="N237" i="8"/>
  <c r="M237" i="8"/>
  <c r="L237" i="8"/>
  <c r="K70" i="1" s="1"/>
  <c r="K237" i="8"/>
  <c r="J237" i="8"/>
  <c r="I70" i="1" s="1"/>
  <c r="I237" i="8"/>
  <c r="H70" i="1" s="1"/>
  <c r="J236" i="8"/>
  <c r="W235" i="8"/>
  <c r="U235" i="8"/>
  <c r="J235" i="8"/>
  <c r="M234" i="8"/>
  <c r="L55" i="1" s="1"/>
  <c r="L234" i="8"/>
  <c r="L231" i="8" s="1"/>
  <c r="K234" i="8"/>
  <c r="J55" i="1" s="1"/>
  <c r="J234" i="8"/>
  <c r="I55" i="1" s="1"/>
  <c r="N233" i="8"/>
  <c r="M61" i="1" s="1"/>
  <c r="N61" i="1" s="1"/>
  <c r="M233" i="8"/>
  <c r="L61" i="1" s="1"/>
  <c r="L233" i="8"/>
  <c r="K61" i="1" s="1"/>
  <c r="K233" i="8"/>
  <c r="J61" i="1" s="1"/>
  <c r="J233" i="8"/>
  <c r="I61" i="1" s="1"/>
  <c r="I233" i="8"/>
  <c r="H61" i="1" s="1"/>
  <c r="T232" i="8"/>
  <c r="R232" i="8"/>
  <c r="P231" i="8"/>
  <c r="Q231" i="8" s="1"/>
  <c r="M231" i="8"/>
  <c r="M230" i="8" s="1"/>
  <c r="K231" i="8"/>
  <c r="K230" i="8" s="1"/>
  <c r="K229" i="8"/>
  <c r="K227" i="8"/>
  <c r="R225" i="8"/>
  <c r="N225" i="8"/>
  <c r="P224" i="8"/>
  <c r="N224" i="8"/>
  <c r="M224" i="8"/>
  <c r="L224" i="8"/>
  <c r="K224" i="8"/>
  <c r="J224" i="8"/>
  <c r="I224" i="8"/>
  <c r="M223" i="8"/>
  <c r="L223" i="8"/>
  <c r="K223" i="8"/>
  <c r="J223" i="8"/>
  <c r="I223" i="8"/>
  <c r="R222" i="8"/>
  <c r="I222" i="8"/>
  <c r="I221" i="8" s="1"/>
  <c r="P221" i="8"/>
  <c r="Q221" i="8" s="1"/>
  <c r="N221" i="8"/>
  <c r="O221" i="8" s="1"/>
  <c r="M221" i="8"/>
  <c r="L221" i="8"/>
  <c r="K221" i="8"/>
  <c r="J221" i="8"/>
  <c r="R220" i="8"/>
  <c r="N220" i="8"/>
  <c r="I220" i="8"/>
  <c r="P219" i="8"/>
  <c r="M219" i="8"/>
  <c r="L219" i="8"/>
  <c r="L218" i="8" s="1"/>
  <c r="K219" i="8"/>
  <c r="J219" i="8"/>
  <c r="J218" i="8" s="1"/>
  <c r="I219" i="8"/>
  <c r="M218" i="8"/>
  <c r="K218" i="8"/>
  <c r="R216" i="8"/>
  <c r="N216" i="8"/>
  <c r="O216" i="8" s="1"/>
  <c r="I216" i="8"/>
  <c r="I214" i="8" s="1"/>
  <c r="R215" i="8"/>
  <c r="N215" i="8"/>
  <c r="I215" i="8"/>
  <c r="P214" i="8"/>
  <c r="Q214" i="8" s="1"/>
  <c r="M214" i="8"/>
  <c r="L214" i="8"/>
  <c r="K214" i="8"/>
  <c r="J214" i="8"/>
  <c r="R213" i="8"/>
  <c r="N213" i="8"/>
  <c r="O213" i="8" s="1"/>
  <c r="I213" i="8"/>
  <c r="I211" i="8" s="1"/>
  <c r="R212" i="8"/>
  <c r="N212" i="8"/>
  <c r="I212" i="8"/>
  <c r="P211" i="8"/>
  <c r="Q211" i="8" s="1"/>
  <c r="M211" i="8"/>
  <c r="L211" i="8"/>
  <c r="K211" i="8"/>
  <c r="J211" i="8"/>
  <c r="P210" i="8"/>
  <c r="Q210" i="8" s="1"/>
  <c r="M210" i="8"/>
  <c r="L210" i="8"/>
  <c r="K210" i="8"/>
  <c r="J210" i="8"/>
  <c r="R209" i="8"/>
  <c r="N209" i="8"/>
  <c r="I209" i="8"/>
  <c r="R208" i="8"/>
  <c r="N208" i="8"/>
  <c r="I208" i="8"/>
  <c r="P207" i="8"/>
  <c r="Q207" i="8" s="1"/>
  <c r="M207" i="8"/>
  <c r="L207" i="8"/>
  <c r="K207" i="8"/>
  <c r="J207" i="8"/>
  <c r="R206" i="8"/>
  <c r="N206" i="8"/>
  <c r="I206" i="8"/>
  <c r="R205" i="8"/>
  <c r="T205" i="8"/>
  <c r="I205" i="8"/>
  <c r="P204" i="8"/>
  <c r="M204" i="8"/>
  <c r="L204" i="8"/>
  <c r="K204" i="8"/>
  <c r="J204" i="8"/>
  <c r="J203" i="8" s="1"/>
  <c r="M203" i="8"/>
  <c r="L203" i="8"/>
  <c r="K203" i="8"/>
  <c r="R201" i="8"/>
  <c r="J201" i="8"/>
  <c r="R200" i="8"/>
  <c r="M200" i="8"/>
  <c r="M199" i="8" s="1"/>
  <c r="J200" i="8"/>
  <c r="P199" i="8"/>
  <c r="L199" i="8"/>
  <c r="J199" i="8"/>
  <c r="R198" i="8"/>
  <c r="R197" i="8"/>
  <c r="M197" i="8"/>
  <c r="M196" i="8" s="1"/>
  <c r="J197" i="8"/>
  <c r="P196" i="8"/>
  <c r="L196" i="8"/>
  <c r="L195" i="8"/>
  <c r="R194" i="8"/>
  <c r="M194" i="8"/>
  <c r="J194" i="8"/>
  <c r="J192" i="8" s="1"/>
  <c r="R193" i="8"/>
  <c r="N193" i="8"/>
  <c r="I193" i="8"/>
  <c r="P192" i="8"/>
  <c r="M192" i="8"/>
  <c r="L192" i="8"/>
  <c r="R191" i="8"/>
  <c r="M191" i="8"/>
  <c r="J191" i="8"/>
  <c r="R190" i="8"/>
  <c r="M190" i="8"/>
  <c r="J190" i="8"/>
  <c r="P189" i="8"/>
  <c r="P188" i="8" s="1"/>
  <c r="L189" i="8"/>
  <c r="L188" i="8"/>
  <c r="T187" i="8"/>
  <c r="T186" i="8"/>
  <c r="R186" i="8"/>
  <c r="T185" i="8"/>
  <c r="R185" i="8"/>
  <c r="T184" i="8"/>
  <c r="R184" i="8"/>
  <c r="T183" i="8"/>
  <c r="R183" i="8"/>
  <c r="T182" i="8"/>
  <c r="R182" i="8"/>
  <c r="T181" i="8"/>
  <c r="R181" i="8"/>
  <c r="T180" i="8"/>
  <c r="R180" i="8"/>
  <c r="T179" i="8"/>
  <c r="R179" i="8"/>
  <c r="T178" i="8"/>
  <c r="R178" i="8"/>
  <c r="T177" i="8"/>
  <c r="R177" i="8"/>
  <c r="T176" i="8"/>
  <c r="R176" i="8"/>
  <c r="T175" i="8"/>
  <c r="R175" i="8"/>
  <c r="T174" i="8"/>
  <c r="R174" i="8"/>
  <c r="T173" i="8"/>
  <c r="R173" i="8"/>
  <c r="T172" i="8"/>
  <c r="R172" i="8"/>
  <c r="T171" i="8"/>
  <c r="R171" i="8"/>
  <c r="T170" i="8"/>
  <c r="R170" i="8"/>
  <c r="T169" i="8"/>
  <c r="R169" i="8"/>
  <c r="T168" i="8"/>
  <c r="R168" i="8"/>
  <c r="T167" i="8"/>
  <c r="R167" i="8"/>
  <c r="T166" i="8"/>
  <c r="R166" i="8"/>
  <c r="T165" i="8"/>
  <c r="R165" i="8"/>
  <c r="T164" i="8"/>
  <c r="R164" i="8"/>
  <c r="T163" i="8"/>
  <c r="R163" i="8"/>
  <c r="T162" i="8"/>
  <c r="R162" i="8"/>
  <c r="T161" i="8"/>
  <c r="R161" i="8"/>
  <c r="T160" i="8"/>
  <c r="R160" i="8"/>
  <c r="I160" i="8"/>
  <c r="T159" i="8"/>
  <c r="R159" i="8"/>
  <c r="I159" i="8"/>
  <c r="T158" i="8"/>
  <c r="R158" i="8"/>
  <c r="T157" i="8"/>
  <c r="R157" i="8"/>
  <c r="I157" i="8"/>
  <c r="T156" i="8"/>
  <c r="R156" i="8"/>
  <c r="I156" i="8"/>
  <c r="T155" i="8"/>
  <c r="R155" i="8"/>
  <c r="T154" i="8"/>
  <c r="R154" i="8"/>
  <c r="T153" i="8"/>
  <c r="R153" i="8"/>
  <c r="T152" i="8"/>
  <c r="R152" i="8"/>
  <c r="R151" i="8"/>
  <c r="N151" i="8"/>
  <c r="T151" i="8" s="1"/>
  <c r="I151" i="8"/>
  <c r="T150" i="8"/>
  <c r="R150" i="8"/>
  <c r="I150" i="8"/>
  <c r="P149" i="8"/>
  <c r="N149" i="8"/>
  <c r="L149" i="8"/>
  <c r="K149" i="8"/>
  <c r="K148" i="8" s="1"/>
  <c r="J149" i="8"/>
  <c r="I149" i="8"/>
  <c r="I148" i="8" s="1"/>
  <c r="P148" i="8"/>
  <c r="N148" i="8"/>
  <c r="M148" i="8"/>
  <c r="L148" i="8"/>
  <c r="J148" i="8"/>
  <c r="T147" i="8"/>
  <c r="R147" i="8"/>
  <c r="L146" i="8"/>
  <c r="R146" i="8" s="1"/>
  <c r="K146" i="8"/>
  <c r="J146" i="8"/>
  <c r="T146" i="8" s="1"/>
  <c r="I146" i="8"/>
  <c r="T145" i="8"/>
  <c r="R145" i="8"/>
  <c r="R144" i="8"/>
  <c r="N144" i="8"/>
  <c r="T144" i="8" s="1"/>
  <c r="I144" i="8"/>
  <c r="I143" i="8" s="1"/>
  <c r="I142" i="8" s="1"/>
  <c r="P143" i="8"/>
  <c r="P142" i="8" s="1"/>
  <c r="N143" i="8"/>
  <c r="L143" i="8"/>
  <c r="K143" i="8"/>
  <c r="K142" i="8" s="1"/>
  <c r="J143" i="8"/>
  <c r="N142" i="8"/>
  <c r="M142" i="8"/>
  <c r="L142" i="8"/>
  <c r="T141" i="8"/>
  <c r="R141" i="8"/>
  <c r="R140" i="8"/>
  <c r="J140" i="8"/>
  <c r="R139" i="8"/>
  <c r="N139" i="8"/>
  <c r="T139" i="8" s="1"/>
  <c r="I139" i="8"/>
  <c r="P138" i="8"/>
  <c r="M138" i="8"/>
  <c r="L138" i="8"/>
  <c r="R137" i="8"/>
  <c r="N137" i="8"/>
  <c r="I137" i="8"/>
  <c r="R136" i="8"/>
  <c r="M136" i="8"/>
  <c r="J136" i="8"/>
  <c r="I136" i="8" s="1"/>
  <c r="I135" i="8" s="1"/>
  <c r="P135" i="8"/>
  <c r="M135" i="8"/>
  <c r="M134" i="8" s="1"/>
  <c r="L135" i="8"/>
  <c r="J135" i="8"/>
  <c r="R133" i="8"/>
  <c r="J133" i="8"/>
  <c r="N133" i="8" s="1"/>
  <c r="R132" i="8"/>
  <c r="N132" i="8"/>
  <c r="T132" i="8" s="1"/>
  <c r="I132" i="8"/>
  <c r="P131" i="8"/>
  <c r="M131" i="8"/>
  <c r="L131" i="8"/>
  <c r="J131" i="8"/>
  <c r="R130" i="8"/>
  <c r="M130" i="8"/>
  <c r="M129" i="8" s="1"/>
  <c r="M128" i="8" s="1"/>
  <c r="J130" i="8"/>
  <c r="P129" i="8"/>
  <c r="P128" i="8" s="1"/>
  <c r="L129" i="8"/>
  <c r="L128" i="8"/>
  <c r="T127" i="8"/>
  <c r="R126" i="8"/>
  <c r="T126" i="8"/>
  <c r="M126" i="8"/>
  <c r="I126" i="8" s="1"/>
  <c r="P125" i="8"/>
  <c r="N125" i="8"/>
  <c r="L125" i="8"/>
  <c r="J125" i="8"/>
  <c r="R124" i="8"/>
  <c r="T124" i="8"/>
  <c r="M124" i="8"/>
  <c r="I124" i="8" s="1"/>
  <c r="I123" i="8" s="1"/>
  <c r="P123" i="8"/>
  <c r="P122" i="8" s="1"/>
  <c r="N123" i="8"/>
  <c r="N122" i="8" s="1"/>
  <c r="L123" i="8"/>
  <c r="L122" i="8" s="1"/>
  <c r="J122" i="8"/>
  <c r="R121" i="8"/>
  <c r="T121" i="8"/>
  <c r="M121" i="8"/>
  <c r="I121" i="8" s="1"/>
  <c r="P120" i="8"/>
  <c r="N120" i="8"/>
  <c r="L120" i="8"/>
  <c r="J120" i="8"/>
  <c r="R119" i="8"/>
  <c r="T119" i="8"/>
  <c r="M119" i="8"/>
  <c r="I119" i="8" s="1"/>
  <c r="I17" i="8" s="1"/>
  <c r="P118" i="8"/>
  <c r="P117" i="8" s="1"/>
  <c r="L118" i="8"/>
  <c r="L117" i="8" s="1"/>
  <c r="J117" i="8"/>
  <c r="T116" i="8"/>
  <c r="R115" i="8"/>
  <c r="T115" i="8"/>
  <c r="M115" i="8"/>
  <c r="I115" i="8" s="1"/>
  <c r="I114" i="8" s="1"/>
  <c r="P114" i="8"/>
  <c r="L114" i="8"/>
  <c r="J114" i="8"/>
  <c r="J111" i="8" s="1"/>
  <c r="R113" i="8"/>
  <c r="M113" i="8"/>
  <c r="I113" i="8" s="1"/>
  <c r="P112" i="8"/>
  <c r="Q112" i="8" s="1"/>
  <c r="N112" i="8"/>
  <c r="O112" i="8" s="1"/>
  <c r="L112" i="8"/>
  <c r="R110" i="8"/>
  <c r="T110" i="8"/>
  <c r="M110" i="8"/>
  <c r="I110" i="8" s="1"/>
  <c r="P109" i="8"/>
  <c r="N109" i="8"/>
  <c r="M109" i="8"/>
  <c r="L109" i="8"/>
  <c r="J109" i="8"/>
  <c r="T109" i="8" s="1"/>
  <c r="R108" i="8"/>
  <c r="M108" i="8"/>
  <c r="I108" i="8" s="1"/>
  <c r="I107" i="8" s="1"/>
  <c r="P107" i="8"/>
  <c r="N107" i="8"/>
  <c r="N106" i="8" s="1"/>
  <c r="M107" i="8"/>
  <c r="M106" i="8" s="1"/>
  <c r="L107" i="8"/>
  <c r="P106" i="8"/>
  <c r="L106" i="8"/>
  <c r="T105" i="8"/>
  <c r="R104" i="8"/>
  <c r="N104" i="8"/>
  <c r="T104" i="8" s="1"/>
  <c r="I104" i="8"/>
  <c r="R103" i="8"/>
  <c r="N103" i="8"/>
  <c r="I103" i="8"/>
  <c r="P102" i="8"/>
  <c r="N102" i="8"/>
  <c r="O102" i="8" s="1"/>
  <c r="M102" i="8"/>
  <c r="L102" i="8"/>
  <c r="K102" i="8"/>
  <c r="J102" i="8"/>
  <c r="R101" i="8"/>
  <c r="N101" i="8"/>
  <c r="T101" i="8" s="1"/>
  <c r="I101" i="8"/>
  <c r="R100" i="8"/>
  <c r="N100" i="8"/>
  <c r="I100" i="8"/>
  <c r="P99" i="8"/>
  <c r="N99" i="8"/>
  <c r="M99" i="8"/>
  <c r="L99" i="8"/>
  <c r="L98" i="8" s="1"/>
  <c r="K99" i="8"/>
  <c r="J99" i="8"/>
  <c r="P98" i="8"/>
  <c r="M98" i="8"/>
  <c r="K98" i="8"/>
  <c r="R97" i="8"/>
  <c r="N97" i="8"/>
  <c r="T97" i="8" s="1"/>
  <c r="I97" i="8"/>
  <c r="R96" i="8"/>
  <c r="N96" i="8"/>
  <c r="I96" i="8"/>
  <c r="P95" i="8"/>
  <c r="M95" i="8"/>
  <c r="M90" i="8" s="1"/>
  <c r="L95" i="8"/>
  <c r="K95" i="8"/>
  <c r="J95" i="8"/>
  <c r="R94" i="8"/>
  <c r="N94" i="8"/>
  <c r="T94" i="8" s="1"/>
  <c r="I94" i="8"/>
  <c r="R93" i="8"/>
  <c r="O93" i="8"/>
  <c r="I93" i="8"/>
  <c r="R92" i="8"/>
  <c r="N92" i="8"/>
  <c r="T92" i="8" s="1"/>
  <c r="I92" i="8"/>
  <c r="P91" i="8"/>
  <c r="M91" i="8"/>
  <c r="L91" i="8"/>
  <c r="K91" i="8"/>
  <c r="J91" i="8"/>
  <c r="P90" i="8"/>
  <c r="L90" i="8"/>
  <c r="J90" i="8"/>
  <c r="R88" i="8"/>
  <c r="J88" i="8"/>
  <c r="I88" i="8" s="1"/>
  <c r="R87" i="8"/>
  <c r="N87" i="8"/>
  <c r="T87" i="8" s="1"/>
  <c r="M87" i="8"/>
  <c r="I87" i="8" s="1"/>
  <c r="P86" i="8"/>
  <c r="M86" i="8"/>
  <c r="L86" i="8"/>
  <c r="K86" i="8"/>
  <c r="R85" i="8"/>
  <c r="J85" i="8"/>
  <c r="N85" i="8" s="1"/>
  <c r="R84" i="8"/>
  <c r="N84" i="8"/>
  <c r="M84" i="8"/>
  <c r="I84" i="8" s="1"/>
  <c r="P83" i="8"/>
  <c r="L83" i="8"/>
  <c r="K83" i="8"/>
  <c r="J83" i="8"/>
  <c r="P82" i="8"/>
  <c r="L82" i="8"/>
  <c r="K82" i="8"/>
  <c r="R81" i="8"/>
  <c r="J81" i="8"/>
  <c r="N81" i="8" s="1"/>
  <c r="I81" i="8"/>
  <c r="R80" i="8"/>
  <c r="N80" i="8"/>
  <c r="T80" i="8" s="1"/>
  <c r="M80" i="8"/>
  <c r="I80" i="8" s="1"/>
  <c r="P79" i="8"/>
  <c r="M79" i="8"/>
  <c r="L79" i="8"/>
  <c r="K79" i="8"/>
  <c r="J79" i="8"/>
  <c r="R78" i="8"/>
  <c r="J78" i="8"/>
  <c r="N78" i="8" s="1"/>
  <c r="N77" i="8"/>
  <c r="M77" i="8"/>
  <c r="L77" i="8"/>
  <c r="R76" i="8"/>
  <c r="J76" i="8"/>
  <c r="N76" i="8" s="1"/>
  <c r="O76" i="8" s="1"/>
  <c r="P75" i="8"/>
  <c r="M75" i="8"/>
  <c r="M74" i="8" s="1"/>
  <c r="K75" i="8"/>
  <c r="T73" i="8"/>
  <c r="R72" i="8"/>
  <c r="N72" i="8"/>
  <c r="T72" i="8" s="1"/>
  <c r="I72" i="8"/>
  <c r="I71" i="8" s="1"/>
  <c r="P71" i="8"/>
  <c r="N71" i="8"/>
  <c r="M71" i="8"/>
  <c r="L71" i="8"/>
  <c r="K71" i="8"/>
  <c r="J71" i="8"/>
  <c r="T70" i="8"/>
  <c r="R70" i="8"/>
  <c r="I70" i="8"/>
  <c r="R69" i="8"/>
  <c r="N69" i="8"/>
  <c r="T69" i="8" s="1"/>
  <c r="I69" i="8"/>
  <c r="P68" i="8"/>
  <c r="M68" i="8"/>
  <c r="M67" i="8" s="1"/>
  <c r="L68" i="8"/>
  <c r="K68" i="8"/>
  <c r="J68" i="8"/>
  <c r="I68" i="8"/>
  <c r="K67" i="8"/>
  <c r="R66" i="8"/>
  <c r="N66" i="8"/>
  <c r="I66" i="8"/>
  <c r="P65" i="8"/>
  <c r="M65" i="8"/>
  <c r="M61" i="8" s="1"/>
  <c r="L65" i="8"/>
  <c r="K65" i="8"/>
  <c r="K61" i="8" s="1"/>
  <c r="J65" i="8"/>
  <c r="I65" i="8"/>
  <c r="I61" i="8" s="1"/>
  <c r="R64" i="8"/>
  <c r="N64" i="8"/>
  <c r="I64" i="8"/>
  <c r="T63" i="8"/>
  <c r="R63" i="8"/>
  <c r="I63" i="8"/>
  <c r="P62" i="8"/>
  <c r="M62" i="8"/>
  <c r="L62" i="8"/>
  <c r="K62" i="8"/>
  <c r="J62" i="8"/>
  <c r="I62" i="8"/>
  <c r="P61" i="8"/>
  <c r="L61" i="8"/>
  <c r="J61" i="8"/>
  <c r="T60" i="8"/>
  <c r="R59" i="8"/>
  <c r="J59" i="8"/>
  <c r="I59" i="8" s="1"/>
  <c r="I58" i="8" s="1"/>
  <c r="T57" i="8"/>
  <c r="R57" i="8"/>
  <c r="I57" i="8"/>
  <c r="R56" i="8"/>
  <c r="J56" i="8"/>
  <c r="N56" i="8" s="1"/>
  <c r="P55" i="8"/>
  <c r="M55" i="8"/>
  <c r="L55" i="8"/>
  <c r="J55" i="8"/>
  <c r="P54" i="8"/>
  <c r="M54" i="8"/>
  <c r="L54" i="8"/>
  <c r="R53" i="8"/>
  <c r="J53" i="8"/>
  <c r="N53" i="8" s="1"/>
  <c r="P52" i="8"/>
  <c r="M52" i="8"/>
  <c r="L52" i="8"/>
  <c r="J52" i="8"/>
  <c r="R51" i="8"/>
  <c r="J51" i="8"/>
  <c r="N51" i="8" s="1"/>
  <c r="I51" i="8"/>
  <c r="I49" i="8" s="1"/>
  <c r="T50" i="8"/>
  <c r="R50" i="8"/>
  <c r="I50" i="8"/>
  <c r="P49" i="8"/>
  <c r="M49" i="8"/>
  <c r="L49" i="8"/>
  <c r="J49" i="8"/>
  <c r="J48" i="8" s="1"/>
  <c r="P48" i="8"/>
  <c r="M48" i="8"/>
  <c r="L48" i="8"/>
  <c r="T47" i="8"/>
  <c r="T46" i="8"/>
  <c r="R46" i="8"/>
  <c r="I46" i="8"/>
  <c r="R45" i="8"/>
  <c r="J45" i="8"/>
  <c r="P44" i="8"/>
  <c r="Q44" i="8" s="1"/>
  <c r="M44" i="8"/>
  <c r="L44" i="8"/>
  <c r="J44" i="8"/>
  <c r="T43" i="8"/>
  <c r="R43" i="8"/>
  <c r="I43" i="8"/>
  <c r="R42" i="8"/>
  <c r="J42" i="8"/>
  <c r="N42" i="8" s="1"/>
  <c r="O42" i="8" s="1"/>
  <c r="P41" i="8"/>
  <c r="Q41" i="8" s="1"/>
  <c r="M41" i="8"/>
  <c r="L41" i="8"/>
  <c r="R39" i="8"/>
  <c r="J39" i="8"/>
  <c r="P38" i="8"/>
  <c r="M38" i="8"/>
  <c r="L38" i="8"/>
  <c r="R37" i="8"/>
  <c r="J37" i="8"/>
  <c r="N37" i="8" s="1"/>
  <c r="T36" i="8"/>
  <c r="R36" i="8"/>
  <c r="I36" i="8"/>
  <c r="P35" i="8"/>
  <c r="P34" i="8" s="1"/>
  <c r="M35" i="8"/>
  <c r="L35" i="8"/>
  <c r="J35" i="8"/>
  <c r="L34" i="8"/>
  <c r="T33" i="8"/>
  <c r="P32" i="8"/>
  <c r="M32" i="8"/>
  <c r="L32" i="8"/>
  <c r="K32" i="8"/>
  <c r="J32" i="8"/>
  <c r="P31" i="8"/>
  <c r="Q31" i="8" s="1"/>
  <c r="M31" i="8"/>
  <c r="L31" i="8"/>
  <c r="K31" i="8"/>
  <c r="J31" i="8"/>
  <c r="P30" i="8"/>
  <c r="Q30" i="8" s="1"/>
  <c r="M30" i="8"/>
  <c r="L30" i="8"/>
  <c r="K30" i="8"/>
  <c r="M29" i="8"/>
  <c r="P28" i="8"/>
  <c r="O33" i="1" s="1"/>
  <c r="M28" i="8"/>
  <c r="L33" i="1" s="1"/>
  <c r="L28" i="8"/>
  <c r="K33" i="1" s="1"/>
  <c r="K28" i="8"/>
  <c r="J28" i="8"/>
  <c r="I33" i="1" s="1"/>
  <c r="P27" i="8"/>
  <c r="Q27" i="8" s="1"/>
  <c r="N27" i="8"/>
  <c r="O27" i="8" s="1"/>
  <c r="M27" i="8"/>
  <c r="L27" i="8"/>
  <c r="K27" i="8"/>
  <c r="J27" i="8"/>
  <c r="P26" i="8"/>
  <c r="Q26" i="8" s="1"/>
  <c r="M26" i="8"/>
  <c r="L26" i="8"/>
  <c r="K26" i="8"/>
  <c r="J26" i="8"/>
  <c r="P25" i="8"/>
  <c r="Q25" i="8" s="1"/>
  <c r="M25" i="8"/>
  <c r="L25" i="8"/>
  <c r="K25" i="8"/>
  <c r="J25" i="8"/>
  <c r="P22" i="8"/>
  <c r="N22" i="8"/>
  <c r="M22" i="8"/>
  <c r="L22" i="8"/>
  <c r="K22" i="8"/>
  <c r="J22" i="8"/>
  <c r="P21" i="8"/>
  <c r="Q21" i="8" s="1"/>
  <c r="M21" i="8"/>
  <c r="L21" i="8"/>
  <c r="K21" i="8"/>
  <c r="J21" i="8"/>
  <c r="P20" i="8"/>
  <c r="Q20" i="8" s="1"/>
  <c r="M20" i="8"/>
  <c r="N19" i="8"/>
  <c r="M19" i="8"/>
  <c r="L23" i="1" s="1"/>
  <c r="L19" i="8"/>
  <c r="K19" i="8"/>
  <c r="J19" i="8"/>
  <c r="I23" i="1" s="1"/>
  <c r="I19" i="8"/>
  <c r="H23" i="1" s="1"/>
  <c r="P17" i="8"/>
  <c r="N17" i="8"/>
  <c r="M17" i="8"/>
  <c r="L17" i="8"/>
  <c r="K17" i="8"/>
  <c r="J17" i="8"/>
  <c r="P16" i="8"/>
  <c r="M16" i="8"/>
  <c r="L18" i="1" s="1"/>
  <c r="L16" i="8"/>
  <c r="K18" i="1" s="1"/>
  <c r="K16" i="8"/>
  <c r="J18" i="1" s="1"/>
  <c r="J16" i="8"/>
  <c r="I18" i="1" s="1"/>
  <c r="P15" i="8"/>
  <c r="Q15" i="8" s="1"/>
  <c r="M15" i="8"/>
  <c r="L15" i="8"/>
  <c r="K15" i="8"/>
  <c r="J15" i="8"/>
  <c r="P14" i="8"/>
  <c r="Q14" i="8" s="1"/>
  <c r="M14" i="8"/>
  <c r="L14" i="8"/>
  <c r="K14" i="8"/>
  <c r="J14" i="8"/>
  <c r="N89" i="7"/>
  <c r="I89" i="7"/>
  <c r="I88" i="7" s="1"/>
  <c r="P88" i="7"/>
  <c r="L88" i="7"/>
  <c r="K88" i="7"/>
  <c r="J88" i="7"/>
  <c r="J85" i="7" s="1"/>
  <c r="N87" i="7"/>
  <c r="I87" i="7"/>
  <c r="L86" i="7"/>
  <c r="L85" i="7" s="1"/>
  <c r="K86" i="7"/>
  <c r="J86" i="7"/>
  <c r="N84" i="7"/>
  <c r="I84" i="7"/>
  <c r="P83" i="7"/>
  <c r="L83" i="7"/>
  <c r="K83" i="7"/>
  <c r="J83" i="7"/>
  <c r="N82" i="7"/>
  <c r="N81" i="7"/>
  <c r="I81" i="7"/>
  <c r="L80" i="7"/>
  <c r="K80" i="7"/>
  <c r="K79" i="7" s="1"/>
  <c r="J80" i="7"/>
  <c r="P79" i="7"/>
  <c r="N77" i="7"/>
  <c r="I77" i="7"/>
  <c r="I76" i="7" s="1"/>
  <c r="P76" i="7"/>
  <c r="P73" i="7" s="1"/>
  <c r="R73" i="7" s="1"/>
  <c r="M76" i="7"/>
  <c r="L76" i="7"/>
  <c r="L73" i="7" s="1"/>
  <c r="K76" i="7"/>
  <c r="K73" i="7" s="1"/>
  <c r="J76" i="7"/>
  <c r="J73" i="7" s="1"/>
  <c r="N75" i="7"/>
  <c r="I75" i="7"/>
  <c r="I74" i="7" s="1"/>
  <c r="P74" i="7"/>
  <c r="N74" i="7"/>
  <c r="M74" i="7"/>
  <c r="L74" i="7"/>
  <c r="K74" i="7"/>
  <c r="J74" i="7"/>
  <c r="N72" i="7"/>
  <c r="I72" i="7"/>
  <c r="I71" i="7" s="1"/>
  <c r="P71" i="7"/>
  <c r="M71" i="7"/>
  <c r="L71" i="7"/>
  <c r="K71" i="7"/>
  <c r="J71" i="7"/>
  <c r="N70" i="7"/>
  <c r="I70" i="7"/>
  <c r="P68" i="7"/>
  <c r="M68" i="7"/>
  <c r="L68" i="7"/>
  <c r="L67" i="7" s="1"/>
  <c r="K68" i="7"/>
  <c r="J68" i="7"/>
  <c r="J67" i="7" s="1"/>
  <c r="N65" i="7"/>
  <c r="P64" i="7"/>
  <c r="M64" i="7"/>
  <c r="M63" i="7" s="1"/>
  <c r="L64" i="7"/>
  <c r="L63" i="7" s="1"/>
  <c r="K64" i="7"/>
  <c r="K63" i="7" s="1"/>
  <c r="J64" i="7"/>
  <c r="J63" i="7" s="1"/>
  <c r="I64" i="7"/>
  <c r="I63" i="7" s="1"/>
  <c r="N62" i="7"/>
  <c r="I62" i="7"/>
  <c r="I61" i="7" s="1"/>
  <c r="I60" i="7" s="1"/>
  <c r="P61" i="7"/>
  <c r="M61" i="7"/>
  <c r="M60" i="7" s="1"/>
  <c r="L61" i="7"/>
  <c r="L60" i="7" s="1"/>
  <c r="K61" i="7"/>
  <c r="K60" i="7" s="1"/>
  <c r="J61" i="7"/>
  <c r="N58" i="7"/>
  <c r="O58" i="7" s="1"/>
  <c r="I58" i="7"/>
  <c r="I57" i="7" s="1"/>
  <c r="I56" i="7" s="1"/>
  <c r="M57" i="7"/>
  <c r="M56" i="7" s="1"/>
  <c r="L57" i="7"/>
  <c r="L56" i="7" s="1"/>
  <c r="K57" i="7"/>
  <c r="K56" i="7" s="1"/>
  <c r="J57" i="7"/>
  <c r="J56" i="7" s="1"/>
  <c r="N54" i="7"/>
  <c r="P53" i="7"/>
  <c r="L53" i="7"/>
  <c r="K53" i="7"/>
  <c r="J53" i="7"/>
  <c r="N52" i="7"/>
  <c r="P51" i="7"/>
  <c r="L51" i="7"/>
  <c r="K51" i="7"/>
  <c r="J51" i="7"/>
  <c r="N49" i="7"/>
  <c r="I49" i="7"/>
  <c r="P48" i="7"/>
  <c r="L48" i="7"/>
  <c r="K48" i="7"/>
  <c r="J48" i="7"/>
  <c r="M46" i="7"/>
  <c r="J46" i="7"/>
  <c r="P46" i="7"/>
  <c r="L46" i="7"/>
  <c r="K46" i="7"/>
  <c r="K45" i="7" s="1"/>
  <c r="N43" i="7"/>
  <c r="I43" i="7"/>
  <c r="I42" i="7" s="1"/>
  <c r="P42" i="7"/>
  <c r="M42" i="7"/>
  <c r="L42" i="7"/>
  <c r="K42" i="7"/>
  <c r="J42" i="7"/>
  <c r="N41" i="7"/>
  <c r="I41" i="7"/>
  <c r="I40" i="7" s="1"/>
  <c r="P40" i="7"/>
  <c r="P39" i="7" s="1"/>
  <c r="L40" i="7"/>
  <c r="K40" i="7"/>
  <c r="J40" i="7"/>
  <c r="J39" i="7"/>
  <c r="N38" i="7"/>
  <c r="I38" i="7"/>
  <c r="I37" i="7" s="1"/>
  <c r="P37" i="7"/>
  <c r="M37" i="7"/>
  <c r="L37" i="7"/>
  <c r="K37" i="7"/>
  <c r="J37" i="7"/>
  <c r="N35" i="7"/>
  <c r="P34" i="7"/>
  <c r="M34" i="7"/>
  <c r="L34" i="7"/>
  <c r="R34" i="7" s="1"/>
  <c r="K34" i="7"/>
  <c r="N31" i="7"/>
  <c r="I31" i="7"/>
  <c r="I30" i="7" s="1"/>
  <c r="I29" i="7" s="1"/>
  <c r="P30" i="7"/>
  <c r="M30" i="7"/>
  <c r="M29" i="7" s="1"/>
  <c r="L30" i="7"/>
  <c r="L29" i="7" s="1"/>
  <c r="K30" i="7"/>
  <c r="K29" i="7" s="1"/>
  <c r="J30" i="7"/>
  <c r="P29" i="7"/>
  <c r="R29" i="7" s="1"/>
  <c r="J29" i="7"/>
  <c r="N28" i="7"/>
  <c r="I28" i="7"/>
  <c r="M27" i="7"/>
  <c r="L27" i="7"/>
  <c r="R27" i="7" s="1"/>
  <c r="K27" i="7"/>
  <c r="J27" i="7"/>
  <c r="J24" i="7" s="1"/>
  <c r="I27" i="7"/>
  <c r="N26" i="7"/>
  <c r="I26" i="7"/>
  <c r="P25" i="7"/>
  <c r="M25" i="7"/>
  <c r="M24" i="7" s="1"/>
  <c r="K25" i="7"/>
  <c r="P22" i="7"/>
  <c r="M22" i="7"/>
  <c r="L22" i="7"/>
  <c r="K22" i="7"/>
  <c r="J22" i="7"/>
  <c r="P20" i="7"/>
  <c r="O69" i="1" s="1"/>
  <c r="P69" i="1" s="1"/>
  <c r="N20" i="7"/>
  <c r="M69" i="1" s="1"/>
  <c r="N69" i="1" s="1"/>
  <c r="L20" i="7"/>
  <c r="L19" i="7" s="1"/>
  <c r="K20" i="7"/>
  <c r="J69" i="1" s="1"/>
  <c r="J20" i="7"/>
  <c r="I69" i="1" s="1"/>
  <c r="N19" i="7"/>
  <c r="P17" i="7"/>
  <c r="O63" i="1" s="1"/>
  <c r="P63" i="1" s="1"/>
  <c r="L17" i="7"/>
  <c r="K17" i="7"/>
  <c r="J63" i="1" s="1"/>
  <c r="J17" i="7"/>
  <c r="I63" i="1" s="1"/>
  <c r="K16" i="7"/>
  <c r="P14" i="7"/>
  <c r="M14" i="7"/>
  <c r="L56" i="1" s="1"/>
  <c r="L14" i="7"/>
  <c r="K56" i="1" s="1"/>
  <c r="K14" i="7"/>
  <c r="J56" i="1" s="1"/>
  <c r="J14" i="7"/>
  <c r="I56" i="1" s="1"/>
  <c r="M33" i="6"/>
  <c r="J33" i="6"/>
  <c r="P33" i="6"/>
  <c r="Q33" i="6" s="1"/>
  <c r="L33" i="6"/>
  <c r="K33" i="6"/>
  <c r="M31" i="6"/>
  <c r="P31" i="6"/>
  <c r="Q31" i="6" s="1"/>
  <c r="L31" i="6"/>
  <c r="K31" i="6"/>
  <c r="M28" i="6"/>
  <c r="J28" i="6"/>
  <c r="P28" i="6"/>
  <c r="Q28" i="6" s="1"/>
  <c r="L28" i="6"/>
  <c r="K28" i="6"/>
  <c r="M26" i="6"/>
  <c r="P26" i="6"/>
  <c r="Q26" i="6" s="1"/>
  <c r="L26" i="6"/>
  <c r="K26" i="6"/>
  <c r="J26" i="6"/>
  <c r="N128" i="6"/>
  <c r="O128" i="6" s="1"/>
  <c r="I128" i="6"/>
  <c r="I127" i="6" s="1"/>
  <c r="I126" i="6" s="1"/>
  <c r="P127" i="6"/>
  <c r="L127" i="6"/>
  <c r="L126" i="6" s="1"/>
  <c r="K127" i="6"/>
  <c r="M126" i="6"/>
  <c r="N101" i="6"/>
  <c r="I101" i="6"/>
  <c r="I100" i="6" s="1"/>
  <c r="I99" i="6" s="1"/>
  <c r="P100" i="6"/>
  <c r="M100" i="6"/>
  <c r="N98" i="6"/>
  <c r="O98" i="6" s="1"/>
  <c r="I98" i="6"/>
  <c r="P97" i="6"/>
  <c r="Q97" i="6" s="1"/>
  <c r="M97" i="6"/>
  <c r="N96" i="6"/>
  <c r="I96" i="6"/>
  <c r="I15" i="6" s="1"/>
  <c r="P95" i="6"/>
  <c r="Q95" i="6" s="1"/>
  <c r="M95" i="6"/>
  <c r="P123" i="6"/>
  <c r="Q123" i="6" s="1"/>
  <c r="M123" i="6"/>
  <c r="M122" i="6" s="1"/>
  <c r="L123" i="6"/>
  <c r="L122" i="6" s="1"/>
  <c r="K123" i="6"/>
  <c r="K122" i="6" s="1"/>
  <c r="J14" i="6"/>
  <c r="P119" i="6"/>
  <c r="M119" i="6"/>
  <c r="M118" i="6" s="1"/>
  <c r="L119" i="6"/>
  <c r="K119" i="6"/>
  <c r="K118" i="6" s="1"/>
  <c r="P118" i="6"/>
  <c r="N116" i="6"/>
  <c r="I116" i="6"/>
  <c r="P115" i="6"/>
  <c r="M115" i="6"/>
  <c r="M114" i="6" s="1"/>
  <c r="L115" i="6"/>
  <c r="L114" i="6" s="1"/>
  <c r="K115" i="6"/>
  <c r="K114" i="6" s="1"/>
  <c r="J115" i="6"/>
  <c r="P114" i="6"/>
  <c r="N112" i="6"/>
  <c r="O112" i="6" s="1"/>
  <c r="I112" i="6"/>
  <c r="P111" i="6"/>
  <c r="P110" i="6" s="1"/>
  <c r="N111" i="6"/>
  <c r="M111" i="6"/>
  <c r="M110" i="6" s="1"/>
  <c r="L111" i="6"/>
  <c r="L14" i="6"/>
  <c r="K14" i="6"/>
  <c r="M14" i="6"/>
  <c r="N54" i="5"/>
  <c r="O54" i="5" s="1"/>
  <c r="I54" i="5"/>
  <c r="I53" i="5" s="1"/>
  <c r="I52" i="5" s="1"/>
  <c r="P53" i="5"/>
  <c r="M53" i="5"/>
  <c r="M52" i="5" s="1"/>
  <c r="L53" i="5"/>
  <c r="L52" i="5" s="1"/>
  <c r="K53" i="5"/>
  <c r="K52" i="5" s="1"/>
  <c r="P49" i="5"/>
  <c r="M49" i="5"/>
  <c r="M48" i="5" s="1"/>
  <c r="L49" i="5"/>
  <c r="J49" i="5"/>
  <c r="J48" i="5" s="1"/>
  <c r="J33" i="5" s="1"/>
  <c r="J31" i="5" s="1"/>
  <c r="N59" i="4"/>
  <c r="I59" i="4"/>
  <c r="N58" i="4"/>
  <c r="I58" i="4"/>
  <c r="P57" i="4"/>
  <c r="L57" i="4"/>
  <c r="L56" i="4" s="1"/>
  <c r="K57" i="4"/>
  <c r="K56" i="4" s="1"/>
  <c r="J57" i="4"/>
  <c r="J56" i="4" s="1"/>
  <c r="P56" i="4"/>
  <c r="I55" i="4"/>
  <c r="K54" i="4"/>
  <c r="J54" i="4"/>
  <c r="N53" i="4"/>
  <c r="I53" i="4"/>
  <c r="N52" i="4"/>
  <c r="I52" i="4"/>
  <c r="N51" i="4"/>
  <c r="I51" i="4"/>
  <c r="N50" i="4"/>
  <c r="I50" i="4"/>
  <c r="P49" i="4"/>
  <c r="P48" i="4" s="1"/>
  <c r="L49" i="4"/>
  <c r="L48" i="4" s="1"/>
  <c r="K49" i="4"/>
  <c r="K48" i="4" s="1"/>
  <c r="J49" i="4"/>
  <c r="N46" i="4"/>
  <c r="N45" i="4" s="1"/>
  <c r="I46" i="4"/>
  <c r="P45" i="4"/>
  <c r="M45" i="4"/>
  <c r="M44" i="4" s="1"/>
  <c r="L45" i="4"/>
  <c r="K45" i="4"/>
  <c r="K44" i="4" s="1"/>
  <c r="J45" i="4"/>
  <c r="P44" i="4"/>
  <c r="L44" i="4"/>
  <c r="J44" i="4"/>
  <c r="I44" i="4"/>
  <c r="N43" i="4"/>
  <c r="I43" i="4"/>
  <c r="I42" i="4" s="1"/>
  <c r="P42" i="4"/>
  <c r="M42" i="4"/>
  <c r="L42" i="4"/>
  <c r="R42" i="4" s="1"/>
  <c r="K42" i="4"/>
  <c r="J42" i="4"/>
  <c r="N41" i="4"/>
  <c r="P39" i="4"/>
  <c r="M39" i="4"/>
  <c r="M38" i="4" s="1"/>
  <c r="L39" i="4"/>
  <c r="K39" i="4"/>
  <c r="K38" i="4" s="1"/>
  <c r="N36" i="4"/>
  <c r="N35" i="4" s="1"/>
  <c r="N34" i="4" s="1"/>
  <c r="I36" i="4"/>
  <c r="P35" i="4"/>
  <c r="M35" i="4"/>
  <c r="M34" i="4" s="1"/>
  <c r="L35" i="4"/>
  <c r="L34" i="4" s="1"/>
  <c r="K35" i="4"/>
  <c r="K34" i="4" s="1"/>
  <c r="J35" i="4"/>
  <c r="J34" i="4" s="1"/>
  <c r="P34" i="4"/>
  <c r="N33" i="4"/>
  <c r="I33" i="4"/>
  <c r="I20" i="4" s="1"/>
  <c r="P32" i="4"/>
  <c r="N32" i="4"/>
  <c r="M32" i="4"/>
  <c r="L32" i="4"/>
  <c r="K32" i="4"/>
  <c r="J32" i="4"/>
  <c r="N31" i="4"/>
  <c r="P29" i="4"/>
  <c r="M29" i="4"/>
  <c r="L29" i="4"/>
  <c r="R29" i="4" s="1"/>
  <c r="K29" i="4"/>
  <c r="M25" i="4"/>
  <c r="L25" i="4"/>
  <c r="K25" i="4"/>
  <c r="J25" i="4"/>
  <c r="P24" i="4"/>
  <c r="O67" i="1" s="1"/>
  <c r="P67" i="1" s="1"/>
  <c r="M24" i="4"/>
  <c r="L67" i="1" s="1"/>
  <c r="L24" i="4"/>
  <c r="K67" i="1" s="1"/>
  <c r="K24" i="4"/>
  <c r="J67" i="1" s="1"/>
  <c r="J24" i="4"/>
  <c r="I24" i="4"/>
  <c r="P23" i="4"/>
  <c r="O66" i="1" s="1"/>
  <c r="P66" i="1" s="1"/>
  <c r="N23" i="4"/>
  <c r="L23" i="4"/>
  <c r="K66" i="1" s="1"/>
  <c r="K23" i="4"/>
  <c r="J66" i="1" s="1"/>
  <c r="J23" i="4"/>
  <c r="K22" i="4"/>
  <c r="L19" i="4"/>
  <c r="K19" i="4"/>
  <c r="I19" i="4"/>
  <c r="M19" i="4"/>
  <c r="P18" i="4"/>
  <c r="M18" i="4"/>
  <c r="L58" i="1" s="1"/>
  <c r="L18" i="4"/>
  <c r="K58" i="1" s="1"/>
  <c r="K18" i="4"/>
  <c r="J58" i="1" s="1"/>
  <c r="J18" i="4"/>
  <c r="I18" i="4"/>
  <c r="P17" i="4"/>
  <c r="O59" i="1" s="1"/>
  <c r="P59" i="1" s="1"/>
  <c r="N17" i="4"/>
  <c r="M17" i="4"/>
  <c r="L17" i="4"/>
  <c r="K17" i="4"/>
  <c r="J17" i="4"/>
  <c r="N190" i="3"/>
  <c r="I190" i="3"/>
  <c r="I189" i="3" s="1"/>
  <c r="P189" i="3"/>
  <c r="M189" i="3"/>
  <c r="L189" i="3"/>
  <c r="J189" i="3"/>
  <c r="N188" i="3"/>
  <c r="I188" i="3"/>
  <c r="I187" i="3" s="1"/>
  <c r="P187" i="3"/>
  <c r="M187" i="3"/>
  <c r="L187" i="3"/>
  <c r="J187" i="3"/>
  <c r="J186" i="3" s="1"/>
  <c r="N185" i="3"/>
  <c r="N184" i="3" s="1"/>
  <c r="I185" i="3"/>
  <c r="I184" i="3" s="1"/>
  <c r="P184" i="3"/>
  <c r="M184" i="3"/>
  <c r="L184" i="3"/>
  <c r="J184" i="3"/>
  <c r="I183" i="3"/>
  <c r="N182" i="3"/>
  <c r="I182" i="3"/>
  <c r="P181" i="3"/>
  <c r="N181" i="3"/>
  <c r="M181" i="3"/>
  <c r="L181" i="3"/>
  <c r="J181" i="3"/>
  <c r="N178" i="3"/>
  <c r="I178" i="3"/>
  <c r="I177" i="3" s="1"/>
  <c r="P177" i="3"/>
  <c r="M177" i="3"/>
  <c r="L177" i="3"/>
  <c r="J177" i="3"/>
  <c r="N176" i="3"/>
  <c r="I176" i="3"/>
  <c r="I175" i="3" s="1"/>
  <c r="P175" i="3"/>
  <c r="M175" i="3"/>
  <c r="L175" i="3"/>
  <c r="J175" i="3"/>
  <c r="N173" i="3"/>
  <c r="I173" i="3"/>
  <c r="I172" i="3" s="1"/>
  <c r="P172" i="3"/>
  <c r="M172" i="3"/>
  <c r="L172" i="3"/>
  <c r="J172" i="3"/>
  <c r="I171" i="3"/>
  <c r="N170" i="3"/>
  <c r="I170" i="3"/>
  <c r="P169" i="3"/>
  <c r="N169" i="3"/>
  <c r="M169" i="3"/>
  <c r="L169" i="3"/>
  <c r="L168" i="3" s="1"/>
  <c r="J169" i="3"/>
  <c r="J168" i="3" s="1"/>
  <c r="M165" i="3"/>
  <c r="J165" i="3"/>
  <c r="P165" i="3"/>
  <c r="L165" i="3"/>
  <c r="K165" i="3"/>
  <c r="M163" i="3"/>
  <c r="P163" i="3"/>
  <c r="L163" i="3"/>
  <c r="K163" i="3"/>
  <c r="N161" i="3"/>
  <c r="P160" i="3"/>
  <c r="M160" i="3"/>
  <c r="L160" i="3"/>
  <c r="K160" i="3"/>
  <c r="M157" i="3"/>
  <c r="N158" i="3"/>
  <c r="I158" i="3"/>
  <c r="P157" i="3"/>
  <c r="L157" i="3"/>
  <c r="K157" i="3"/>
  <c r="J141" i="3"/>
  <c r="P141" i="3"/>
  <c r="M141" i="3"/>
  <c r="L141" i="3"/>
  <c r="K141" i="3"/>
  <c r="N140" i="3"/>
  <c r="P139" i="3"/>
  <c r="M139" i="3"/>
  <c r="L139" i="3"/>
  <c r="K139" i="3"/>
  <c r="N137" i="3"/>
  <c r="P136" i="3"/>
  <c r="M136" i="3"/>
  <c r="L136" i="3"/>
  <c r="K136" i="3"/>
  <c r="N135" i="3"/>
  <c r="N134" i="3"/>
  <c r="P133" i="3"/>
  <c r="M133" i="3"/>
  <c r="L133" i="3"/>
  <c r="K133" i="3"/>
  <c r="M129" i="3"/>
  <c r="P129" i="3"/>
  <c r="L129" i="3"/>
  <c r="K129" i="3"/>
  <c r="J129" i="3"/>
  <c r="M127" i="3"/>
  <c r="P127" i="3"/>
  <c r="L127" i="3"/>
  <c r="K127" i="3"/>
  <c r="M124" i="3"/>
  <c r="P124" i="3"/>
  <c r="L124" i="3"/>
  <c r="K124" i="3"/>
  <c r="J124" i="3"/>
  <c r="M121" i="3"/>
  <c r="M120" i="3" s="1"/>
  <c r="I122" i="3"/>
  <c r="P121" i="3"/>
  <c r="L121" i="3"/>
  <c r="K121" i="3"/>
  <c r="P46" i="3"/>
  <c r="Q46" i="3" s="1"/>
  <c r="K46" i="3"/>
  <c r="J46" i="3"/>
  <c r="I45" i="3"/>
  <c r="I44" i="3" s="1"/>
  <c r="P44" i="3"/>
  <c r="Q44" i="3" s="1"/>
  <c r="L44" i="3"/>
  <c r="J44" i="3"/>
  <c r="J43" i="3" s="1"/>
  <c r="L43" i="3"/>
  <c r="I42" i="3"/>
  <c r="I41" i="3" s="1"/>
  <c r="P41" i="3"/>
  <c r="Q41" i="3" s="1"/>
  <c r="L41" i="3"/>
  <c r="J41" i="3"/>
  <c r="J39" i="3"/>
  <c r="P39" i="3"/>
  <c r="L39" i="3"/>
  <c r="K39" i="3"/>
  <c r="N118" i="3"/>
  <c r="P117" i="3"/>
  <c r="M117" i="3"/>
  <c r="L117" i="3"/>
  <c r="K117" i="3"/>
  <c r="P115" i="3"/>
  <c r="M115" i="3"/>
  <c r="L115" i="3"/>
  <c r="K115" i="3"/>
  <c r="N113" i="3"/>
  <c r="P112" i="3"/>
  <c r="L112" i="3"/>
  <c r="K112" i="3"/>
  <c r="N110" i="3"/>
  <c r="P109" i="3"/>
  <c r="M109" i="3"/>
  <c r="L109" i="3"/>
  <c r="K109" i="3"/>
  <c r="N106" i="3"/>
  <c r="N105" i="3" s="1"/>
  <c r="P105" i="3"/>
  <c r="M105" i="3"/>
  <c r="L105" i="3"/>
  <c r="K105" i="3"/>
  <c r="P103" i="3"/>
  <c r="M103" i="3"/>
  <c r="L103" i="3"/>
  <c r="K103" i="3"/>
  <c r="N101" i="3"/>
  <c r="P100" i="3"/>
  <c r="M100" i="3"/>
  <c r="L100" i="3"/>
  <c r="K100" i="3"/>
  <c r="N98" i="3"/>
  <c r="P97" i="3"/>
  <c r="M97" i="3"/>
  <c r="L97" i="3"/>
  <c r="K97" i="3"/>
  <c r="J97" i="3"/>
  <c r="N154" i="3"/>
  <c r="P153" i="3"/>
  <c r="M153" i="3"/>
  <c r="L153" i="3"/>
  <c r="K153" i="3"/>
  <c r="N152" i="3"/>
  <c r="P151" i="3"/>
  <c r="M151" i="3"/>
  <c r="L151" i="3"/>
  <c r="K151" i="3"/>
  <c r="P148" i="3"/>
  <c r="M148" i="3"/>
  <c r="L148" i="3"/>
  <c r="K148" i="3"/>
  <c r="N146" i="3"/>
  <c r="P145" i="3"/>
  <c r="M145" i="3"/>
  <c r="L145" i="3"/>
  <c r="K145" i="3"/>
  <c r="N94" i="3"/>
  <c r="N93" i="3" s="1"/>
  <c r="I94" i="3"/>
  <c r="I93" i="3" s="1"/>
  <c r="M93" i="3"/>
  <c r="L93" i="3"/>
  <c r="K93" i="3"/>
  <c r="J93" i="3"/>
  <c r="M91" i="3"/>
  <c r="M90" i="3" s="1"/>
  <c r="L91" i="3"/>
  <c r="K91" i="3"/>
  <c r="K90" i="3" s="1"/>
  <c r="N89" i="3"/>
  <c r="M88" i="3"/>
  <c r="L88" i="3"/>
  <c r="K88" i="3"/>
  <c r="J88" i="3"/>
  <c r="M86" i="3"/>
  <c r="L86" i="3"/>
  <c r="K86" i="3"/>
  <c r="P82" i="3"/>
  <c r="M82" i="3"/>
  <c r="L82" i="3"/>
  <c r="K82" i="3"/>
  <c r="N81" i="3"/>
  <c r="P80" i="3"/>
  <c r="M80" i="3"/>
  <c r="L80" i="3"/>
  <c r="K80" i="3"/>
  <c r="P77" i="3"/>
  <c r="M77" i="3"/>
  <c r="L77" i="3"/>
  <c r="K77" i="3"/>
  <c r="N76" i="3"/>
  <c r="I75" i="3"/>
  <c r="P74" i="3"/>
  <c r="M74" i="3"/>
  <c r="L74" i="3"/>
  <c r="K74" i="3"/>
  <c r="N71" i="3"/>
  <c r="N70" i="3" s="1"/>
  <c r="I71" i="3"/>
  <c r="P70" i="3"/>
  <c r="M70" i="3"/>
  <c r="L70" i="3"/>
  <c r="K70" i="3"/>
  <c r="J70" i="3"/>
  <c r="I70" i="3"/>
  <c r="N69" i="3"/>
  <c r="I69" i="3"/>
  <c r="I68" i="3" s="1"/>
  <c r="P68" i="3"/>
  <c r="L68" i="3"/>
  <c r="L67" i="3" s="1"/>
  <c r="K68" i="3"/>
  <c r="J68" i="3"/>
  <c r="J67" i="3" s="1"/>
  <c r="K67" i="3"/>
  <c r="N66" i="3"/>
  <c r="I66" i="3"/>
  <c r="P65" i="3"/>
  <c r="M65" i="3"/>
  <c r="L65" i="3"/>
  <c r="K65" i="3"/>
  <c r="J65" i="3"/>
  <c r="I65" i="3"/>
  <c r="N64" i="3"/>
  <c r="N62" i="3" s="1"/>
  <c r="I64" i="3"/>
  <c r="P62" i="3"/>
  <c r="M62" i="3"/>
  <c r="L62" i="3"/>
  <c r="K62" i="3"/>
  <c r="J62" i="3"/>
  <c r="M58" i="3"/>
  <c r="L58" i="3"/>
  <c r="K58" i="3"/>
  <c r="N57" i="3"/>
  <c r="M56" i="3"/>
  <c r="L56" i="3"/>
  <c r="L55" i="3" s="1"/>
  <c r="K56" i="3"/>
  <c r="M53" i="3"/>
  <c r="L53" i="3"/>
  <c r="K53" i="3"/>
  <c r="N52" i="3"/>
  <c r="N50" i="3" s="1"/>
  <c r="I51" i="3"/>
  <c r="M50" i="3"/>
  <c r="L50" i="3"/>
  <c r="K50" i="3"/>
  <c r="J50" i="3"/>
  <c r="N36" i="3"/>
  <c r="I36" i="3"/>
  <c r="P35" i="3"/>
  <c r="P34" i="3" s="1"/>
  <c r="M35" i="3"/>
  <c r="M34" i="3" s="1"/>
  <c r="L35" i="3"/>
  <c r="L34" i="3" s="1"/>
  <c r="K35" i="3"/>
  <c r="K34" i="3" s="1"/>
  <c r="J35" i="3"/>
  <c r="J34" i="3" s="1"/>
  <c r="I35" i="3"/>
  <c r="I34" i="3" s="1"/>
  <c r="N33" i="3"/>
  <c r="N32" i="3" s="1"/>
  <c r="N31" i="3" s="1"/>
  <c r="I33" i="3"/>
  <c r="P32" i="3"/>
  <c r="M32" i="3"/>
  <c r="L32" i="3"/>
  <c r="R32" i="3" s="1"/>
  <c r="K32" i="3"/>
  <c r="J32" i="3"/>
  <c r="I32" i="3"/>
  <c r="P31" i="3"/>
  <c r="M31" i="3"/>
  <c r="L31" i="3"/>
  <c r="K31" i="3"/>
  <c r="J31" i="3"/>
  <c r="I31" i="3"/>
  <c r="M21" i="3"/>
  <c r="L21" i="3"/>
  <c r="K21" i="3"/>
  <c r="J21" i="3"/>
  <c r="P20" i="3"/>
  <c r="Q20" i="3" s="1"/>
  <c r="M20" i="3"/>
  <c r="L20" i="3"/>
  <c r="L19" i="3" s="1"/>
  <c r="K20" i="3"/>
  <c r="K19" i="3" s="1"/>
  <c r="M16" i="3"/>
  <c r="L16" i="3"/>
  <c r="K16" i="3"/>
  <c r="J16" i="3"/>
  <c r="P15" i="3"/>
  <c r="Q15" i="3" s="1"/>
  <c r="M15" i="3"/>
  <c r="L15" i="3"/>
  <c r="K15" i="3"/>
  <c r="P14" i="3"/>
  <c r="M14" i="3"/>
  <c r="L14" i="3"/>
  <c r="K14" i="3"/>
  <c r="J14" i="3"/>
  <c r="N465" i="2"/>
  <c r="O465" i="2" s="1"/>
  <c r="P464" i="2"/>
  <c r="N464" i="2"/>
  <c r="O464" i="2" s="1"/>
  <c r="M464" i="2"/>
  <c r="L464" i="2"/>
  <c r="L463" i="2" s="1"/>
  <c r="K464" i="2"/>
  <c r="M463" i="2"/>
  <c r="R462" i="2"/>
  <c r="N462" i="2"/>
  <c r="D453" i="2"/>
  <c r="P461" i="2"/>
  <c r="M461" i="2"/>
  <c r="L461" i="2"/>
  <c r="K461" i="2"/>
  <c r="R460" i="2"/>
  <c r="J459" i="2"/>
  <c r="P459" i="2"/>
  <c r="P458" i="2" s="1"/>
  <c r="M459" i="2"/>
  <c r="M458" i="2" s="1"/>
  <c r="L459" i="2"/>
  <c r="L458" i="2" s="1"/>
  <c r="K459" i="2"/>
  <c r="K458" i="2" s="1"/>
  <c r="P456" i="2"/>
  <c r="N456" i="2"/>
  <c r="M456" i="2"/>
  <c r="L456" i="2"/>
  <c r="K456" i="2"/>
  <c r="J456" i="2"/>
  <c r="I456" i="2"/>
  <c r="H456" i="2"/>
  <c r="G456" i="2"/>
  <c r="F456" i="2"/>
  <c r="E456" i="2"/>
  <c r="D456" i="2"/>
  <c r="P455" i="2"/>
  <c r="N455" i="2"/>
  <c r="M455" i="2"/>
  <c r="M454" i="2" s="1"/>
  <c r="L455" i="2"/>
  <c r="L454" i="2" s="1"/>
  <c r="K455" i="2"/>
  <c r="J455" i="2"/>
  <c r="I455" i="2"/>
  <c r="H455" i="2"/>
  <c r="H454" i="2" s="1"/>
  <c r="G455" i="2"/>
  <c r="G454" i="2" s="1"/>
  <c r="F455" i="2"/>
  <c r="F454" i="2" s="1"/>
  <c r="E455" i="2"/>
  <c r="E454" i="2" s="1"/>
  <c r="N454" i="2"/>
  <c r="P453" i="2"/>
  <c r="M453" i="2"/>
  <c r="L453" i="2"/>
  <c r="K453" i="2"/>
  <c r="J453" i="2"/>
  <c r="H453" i="2"/>
  <c r="G453" i="2"/>
  <c r="F453" i="2"/>
  <c r="P451" i="2"/>
  <c r="M451" i="2"/>
  <c r="L451" i="2"/>
  <c r="K451" i="2"/>
  <c r="K450" i="2" s="1"/>
  <c r="H451" i="2"/>
  <c r="H450" i="2" s="1"/>
  <c r="G451" i="2"/>
  <c r="G450" i="2" s="1"/>
  <c r="F451" i="2"/>
  <c r="F450" i="2" s="1"/>
  <c r="M450" i="2"/>
  <c r="R526" i="2"/>
  <c r="N526" i="2"/>
  <c r="I526" i="2"/>
  <c r="I525" i="2" s="1"/>
  <c r="I524" i="2" s="1"/>
  <c r="P525" i="2"/>
  <c r="M525" i="2"/>
  <c r="M524" i="2" s="1"/>
  <c r="L525" i="2"/>
  <c r="L524" i="2" s="1"/>
  <c r="K525" i="2"/>
  <c r="K524" i="2" s="1"/>
  <c r="J525" i="2"/>
  <c r="J524" i="2" s="1"/>
  <c r="R522" i="2"/>
  <c r="N522" i="2"/>
  <c r="I522" i="2"/>
  <c r="I521" i="2" s="1"/>
  <c r="I520" i="2" s="1"/>
  <c r="P521" i="2"/>
  <c r="M521" i="2"/>
  <c r="M520" i="2" s="1"/>
  <c r="L521" i="2"/>
  <c r="L520" i="2" s="1"/>
  <c r="J521" i="2"/>
  <c r="J520" i="2" s="1"/>
  <c r="R519" i="2"/>
  <c r="N519" i="2"/>
  <c r="I519" i="2"/>
  <c r="R518" i="2"/>
  <c r="N518" i="2"/>
  <c r="I518" i="2"/>
  <c r="P517" i="2"/>
  <c r="P516" i="2" s="1"/>
  <c r="M517" i="2"/>
  <c r="M516" i="2" s="1"/>
  <c r="L517" i="2"/>
  <c r="L516" i="2" s="1"/>
  <c r="K517" i="2"/>
  <c r="K516" i="2" s="1"/>
  <c r="R514" i="2"/>
  <c r="N514" i="2"/>
  <c r="I514" i="2"/>
  <c r="I513" i="2" s="1"/>
  <c r="I512" i="2" s="1"/>
  <c r="P513" i="2"/>
  <c r="M513" i="2"/>
  <c r="M512" i="2" s="1"/>
  <c r="L513" i="2"/>
  <c r="L512" i="2" s="1"/>
  <c r="K513" i="2"/>
  <c r="K512" i="2" s="1"/>
  <c r="R534" i="2"/>
  <c r="N534" i="2"/>
  <c r="P533" i="2"/>
  <c r="P532" i="2" s="1"/>
  <c r="M533" i="2"/>
  <c r="M532" i="2" s="1"/>
  <c r="L533" i="2"/>
  <c r="L532" i="2" s="1"/>
  <c r="K533" i="2"/>
  <c r="K532" i="2" s="1"/>
  <c r="J533" i="2"/>
  <c r="J532" i="2" s="1"/>
  <c r="R531" i="2"/>
  <c r="N531" i="2"/>
  <c r="O531" i="2" s="1"/>
  <c r="R530" i="2"/>
  <c r="I530" i="2"/>
  <c r="I529" i="2" s="1"/>
  <c r="I528" i="2" s="1"/>
  <c r="P529" i="2"/>
  <c r="M529" i="2"/>
  <c r="M528" i="2" s="1"/>
  <c r="L529" i="2"/>
  <c r="L528" i="2" s="1"/>
  <c r="J529" i="2"/>
  <c r="J528" i="2" s="1"/>
  <c r="R510" i="2"/>
  <c r="N509" i="2"/>
  <c r="I510" i="2"/>
  <c r="I509" i="2" s="1"/>
  <c r="I508" i="2" s="1"/>
  <c r="P509" i="2"/>
  <c r="M509" i="2"/>
  <c r="M508" i="2" s="1"/>
  <c r="L509" i="2"/>
  <c r="K509" i="2"/>
  <c r="K508" i="2" s="1"/>
  <c r="L508" i="2"/>
  <c r="R506" i="2"/>
  <c r="N505" i="2"/>
  <c r="I506" i="2"/>
  <c r="P505" i="2"/>
  <c r="Q505" i="2" s="1"/>
  <c r="M505" i="2"/>
  <c r="L505" i="2"/>
  <c r="K505" i="2"/>
  <c r="P504" i="2"/>
  <c r="Q504" i="2" s="1"/>
  <c r="M504" i="2"/>
  <c r="L504" i="2"/>
  <c r="K504" i="2"/>
  <c r="R502" i="2"/>
  <c r="J502" i="2"/>
  <c r="P501" i="2"/>
  <c r="M501" i="2"/>
  <c r="M500" i="2" s="1"/>
  <c r="L501" i="2"/>
  <c r="L500" i="2" s="1"/>
  <c r="R499" i="2"/>
  <c r="J499" i="2"/>
  <c r="J474" i="2" s="1"/>
  <c r="I58" i="1" s="1"/>
  <c r="R498" i="2"/>
  <c r="J498" i="2"/>
  <c r="J472" i="2" s="1"/>
  <c r="I54" i="1" s="1"/>
  <c r="P497" i="2"/>
  <c r="P496" i="2" s="1"/>
  <c r="M497" i="2"/>
  <c r="M496" i="2" s="1"/>
  <c r="L497" i="2"/>
  <c r="R497" i="2" s="1"/>
  <c r="R494" i="2"/>
  <c r="N494" i="2"/>
  <c r="O494" i="2" s="1"/>
  <c r="P493" i="2"/>
  <c r="M493" i="2"/>
  <c r="M492" i="2" s="1"/>
  <c r="L493" i="2"/>
  <c r="L492" i="2" s="1"/>
  <c r="K493" i="2"/>
  <c r="J493" i="2"/>
  <c r="P492" i="2"/>
  <c r="K492" i="2"/>
  <c r="R490" i="2"/>
  <c r="N490" i="2"/>
  <c r="O490" i="2" s="1"/>
  <c r="I490" i="2"/>
  <c r="I480" i="2" s="1"/>
  <c r="R489" i="2"/>
  <c r="N489" i="2"/>
  <c r="O489" i="2" s="1"/>
  <c r="I489" i="2"/>
  <c r="I478" i="2" s="1"/>
  <c r="M488" i="2"/>
  <c r="M487" i="2" s="1"/>
  <c r="L488" i="2"/>
  <c r="L487" i="2" s="1"/>
  <c r="K488" i="2"/>
  <c r="K487" i="2" s="1"/>
  <c r="J488" i="2"/>
  <c r="J487" i="2" s="1"/>
  <c r="R486" i="2"/>
  <c r="N486" i="2"/>
  <c r="O486" i="2" s="1"/>
  <c r="I486" i="2"/>
  <c r="I475" i="2" s="1"/>
  <c r="R485" i="2"/>
  <c r="N485" i="2"/>
  <c r="O485" i="2" s="1"/>
  <c r="I485" i="2"/>
  <c r="R484" i="2"/>
  <c r="N484" i="2"/>
  <c r="O484" i="2" s="1"/>
  <c r="I484" i="2"/>
  <c r="P483" i="2"/>
  <c r="Q483" i="2" s="1"/>
  <c r="M483" i="2"/>
  <c r="M482" i="2" s="1"/>
  <c r="L483" i="2"/>
  <c r="L482" i="2" s="1"/>
  <c r="R447" i="2"/>
  <c r="N447" i="2"/>
  <c r="I447" i="2"/>
  <c r="I446" i="2" s="1"/>
  <c r="R446" i="2"/>
  <c r="N445" i="2"/>
  <c r="I445" i="2"/>
  <c r="I431" i="2" s="1"/>
  <c r="R444" i="2"/>
  <c r="N444" i="2"/>
  <c r="I444" i="2"/>
  <c r="I430" i="2" s="1"/>
  <c r="I27" i="2" s="1"/>
  <c r="P443" i="2"/>
  <c r="M443" i="2"/>
  <c r="M442" i="2" s="1"/>
  <c r="L443" i="2"/>
  <c r="L442" i="2" s="1"/>
  <c r="K443" i="2"/>
  <c r="K442" i="2" s="1"/>
  <c r="J443" i="2"/>
  <c r="J442" i="2" s="1"/>
  <c r="R441" i="2"/>
  <c r="I441" i="2"/>
  <c r="I427" i="2" s="1"/>
  <c r="I426" i="2" s="1"/>
  <c r="P440" i="2"/>
  <c r="Q440" i="2" s="1"/>
  <c r="M440" i="2"/>
  <c r="L440" i="2"/>
  <c r="K440" i="2"/>
  <c r="J440" i="2"/>
  <c r="R439" i="2"/>
  <c r="I439" i="2"/>
  <c r="R438" i="2"/>
  <c r="I438" i="2"/>
  <c r="R437" i="2"/>
  <c r="I437" i="2"/>
  <c r="M436" i="2"/>
  <c r="L436" i="2"/>
  <c r="K436" i="2"/>
  <c r="J436" i="2"/>
  <c r="P433" i="2"/>
  <c r="N433" i="2"/>
  <c r="M433" i="2"/>
  <c r="M432" i="2" s="1"/>
  <c r="L433" i="2"/>
  <c r="L432" i="2" s="1"/>
  <c r="K433" i="2"/>
  <c r="K432" i="2" s="1"/>
  <c r="J433" i="2"/>
  <c r="J432" i="2" s="1"/>
  <c r="H433" i="2"/>
  <c r="G433" i="2"/>
  <c r="F433" i="2"/>
  <c r="E433" i="2"/>
  <c r="D433" i="2"/>
  <c r="P431" i="2"/>
  <c r="M431" i="2"/>
  <c r="L431" i="2"/>
  <c r="K431" i="2"/>
  <c r="J431" i="2"/>
  <c r="H431" i="2"/>
  <c r="H29" i="2" s="1"/>
  <c r="G431" i="2"/>
  <c r="F431" i="2"/>
  <c r="E431" i="2"/>
  <c r="D431" i="2"/>
  <c r="D29" i="2" s="1"/>
  <c r="C32" i="1" s="1"/>
  <c r="P430" i="2"/>
  <c r="P27" i="2" s="1"/>
  <c r="M430" i="2"/>
  <c r="M27" i="2" s="1"/>
  <c r="L430" i="2"/>
  <c r="L27" i="2" s="1"/>
  <c r="K29" i="1" s="1"/>
  <c r="K430" i="2"/>
  <c r="K27" i="2" s="1"/>
  <c r="J430" i="2"/>
  <c r="J27" i="2" s="1"/>
  <c r="I29" i="1" s="1"/>
  <c r="H430" i="2"/>
  <c r="H27" i="2" s="1"/>
  <c r="G29" i="1" s="1"/>
  <c r="G430" i="2"/>
  <c r="G27" i="2" s="1"/>
  <c r="F29" i="1" s="1"/>
  <c r="F430" i="2"/>
  <c r="F27" i="2" s="1"/>
  <c r="E29" i="1" s="1"/>
  <c r="E430" i="2"/>
  <c r="E27" i="2" s="1"/>
  <c r="D29" i="1" s="1"/>
  <c r="D430" i="2"/>
  <c r="P427" i="2"/>
  <c r="N427" i="2"/>
  <c r="M427" i="2"/>
  <c r="M426" i="2" s="1"/>
  <c r="L427" i="2"/>
  <c r="L426" i="2" s="1"/>
  <c r="K427" i="2"/>
  <c r="J427" i="2"/>
  <c r="J426" i="2" s="1"/>
  <c r="H427" i="2"/>
  <c r="G427" i="2"/>
  <c r="F427" i="2"/>
  <c r="E427" i="2"/>
  <c r="D427" i="2"/>
  <c r="P425" i="2"/>
  <c r="N425" i="2"/>
  <c r="M425" i="2"/>
  <c r="L425" i="2"/>
  <c r="K425" i="2"/>
  <c r="K19" i="2" s="1"/>
  <c r="J20" i="1" s="1"/>
  <c r="J425" i="2"/>
  <c r="I425" i="2"/>
  <c r="H425" i="2"/>
  <c r="G425" i="2"/>
  <c r="F425" i="2"/>
  <c r="E425" i="2"/>
  <c r="D425" i="2"/>
  <c r="D19" i="2" s="1"/>
  <c r="C20" i="1" s="1"/>
  <c r="N20" i="1" s="1"/>
  <c r="P424" i="2"/>
  <c r="N424" i="2"/>
  <c r="M424" i="2"/>
  <c r="L424" i="2"/>
  <c r="L17" i="2" s="1"/>
  <c r="K17" i="1" s="1"/>
  <c r="K424" i="2"/>
  <c r="J424" i="2"/>
  <c r="J17" i="2" s="1"/>
  <c r="H424" i="2"/>
  <c r="H17" i="2" s="1"/>
  <c r="G17" i="1" s="1"/>
  <c r="G424" i="2"/>
  <c r="F424" i="2"/>
  <c r="E424" i="2"/>
  <c r="D424" i="2"/>
  <c r="D17" i="2" s="1"/>
  <c r="C17" i="1" s="1"/>
  <c r="N17" i="1" s="1"/>
  <c r="P423" i="2"/>
  <c r="N423" i="2"/>
  <c r="M423" i="2"/>
  <c r="L423" i="2"/>
  <c r="K423" i="2"/>
  <c r="J423" i="2"/>
  <c r="H423" i="2"/>
  <c r="G423" i="2"/>
  <c r="F423" i="2"/>
  <c r="E423" i="2"/>
  <c r="D423" i="2"/>
  <c r="R419" i="2"/>
  <c r="R418" i="2"/>
  <c r="N418" i="2"/>
  <c r="J418" i="2"/>
  <c r="J417" i="2" s="1"/>
  <c r="I418" i="2"/>
  <c r="I417" i="2" s="1"/>
  <c r="E418" i="2"/>
  <c r="E417" i="2" s="1"/>
  <c r="D418" i="2"/>
  <c r="D417" i="2" s="1"/>
  <c r="R417" i="2"/>
  <c r="R416" i="2"/>
  <c r="R415" i="2"/>
  <c r="N415" i="2"/>
  <c r="J415" i="2"/>
  <c r="I415" i="2"/>
  <c r="E415" i="2"/>
  <c r="D415" i="2"/>
  <c r="R414" i="2"/>
  <c r="R413" i="2"/>
  <c r="N413" i="2"/>
  <c r="J413" i="2"/>
  <c r="I413" i="2"/>
  <c r="I412" i="2" s="1"/>
  <c r="E413" i="2"/>
  <c r="E412" i="2" s="1"/>
  <c r="D413" i="2"/>
  <c r="D412" i="2" s="1"/>
  <c r="R412" i="2"/>
  <c r="N412" i="2"/>
  <c r="O412" i="2" s="1"/>
  <c r="R410" i="2"/>
  <c r="N410" i="2"/>
  <c r="I410" i="2"/>
  <c r="I409" i="2" s="1"/>
  <c r="I408" i="2" s="1"/>
  <c r="P409" i="2"/>
  <c r="Q409" i="2" s="1"/>
  <c r="M409" i="2"/>
  <c r="M408" i="2" s="1"/>
  <c r="K409" i="2"/>
  <c r="K408" i="2" s="1"/>
  <c r="R407" i="2"/>
  <c r="N407" i="2"/>
  <c r="O407" i="2" s="1"/>
  <c r="P406" i="2"/>
  <c r="L406" i="2"/>
  <c r="K406" i="2"/>
  <c r="R405" i="2"/>
  <c r="P404" i="2"/>
  <c r="Q404" i="2" s="1"/>
  <c r="M404" i="2"/>
  <c r="M403" i="2" s="1"/>
  <c r="L404" i="2"/>
  <c r="K404" i="2"/>
  <c r="R401" i="2"/>
  <c r="N401" i="2"/>
  <c r="I401" i="2"/>
  <c r="P400" i="2"/>
  <c r="Q400" i="2" s="1"/>
  <c r="M400" i="2"/>
  <c r="M399" i="2" s="1"/>
  <c r="L400" i="2"/>
  <c r="L399" i="2" s="1"/>
  <c r="I400" i="2"/>
  <c r="I399" i="2" s="1"/>
  <c r="R398" i="2"/>
  <c r="N398" i="2"/>
  <c r="I398" i="2"/>
  <c r="I397" i="2" s="1"/>
  <c r="P397" i="2"/>
  <c r="L397" i="2"/>
  <c r="K397" i="2"/>
  <c r="R396" i="2"/>
  <c r="N396" i="2"/>
  <c r="O396" i="2" s="1"/>
  <c r="I396" i="2"/>
  <c r="I395" i="2" s="1"/>
  <c r="P395" i="2"/>
  <c r="Q395" i="2" s="1"/>
  <c r="L395" i="2"/>
  <c r="K395" i="2"/>
  <c r="R392" i="2"/>
  <c r="I392" i="2"/>
  <c r="I391" i="2" s="1"/>
  <c r="P391" i="2"/>
  <c r="Q391" i="2" s="1"/>
  <c r="N391" i="2"/>
  <c r="M391" i="2"/>
  <c r="M390" i="2" s="1"/>
  <c r="J391" i="2"/>
  <c r="J390" i="2" s="1"/>
  <c r="P390" i="2"/>
  <c r="Q390" i="2" s="1"/>
  <c r="R389" i="2"/>
  <c r="N389" i="2"/>
  <c r="I389" i="2"/>
  <c r="I388" i="2" s="1"/>
  <c r="P388" i="2"/>
  <c r="L388" i="2"/>
  <c r="J388" i="2"/>
  <c r="R387" i="2"/>
  <c r="P386" i="2"/>
  <c r="L386" i="2"/>
  <c r="K386" i="2"/>
  <c r="J386" i="2"/>
  <c r="R383" i="2"/>
  <c r="R382" i="2"/>
  <c r="R381" i="2"/>
  <c r="R380" i="2"/>
  <c r="R379" i="2"/>
  <c r="R378" i="2"/>
  <c r="R377" i="2"/>
  <c r="R376" i="2"/>
  <c r="R375" i="2"/>
  <c r="P374" i="2"/>
  <c r="M374" i="2"/>
  <c r="M32" i="2" s="1"/>
  <c r="L374" i="2"/>
  <c r="L32" i="2" s="1"/>
  <c r="K374" i="2"/>
  <c r="K32" i="2" s="1"/>
  <c r="J374" i="2"/>
  <c r="H374" i="2"/>
  <c r="G374" i="2"/>
  <c r="F374" i="2"/>
  <c r="F32" i="2" s="1"/>
  <c r="E374" i="2"/>
  <c r="D374" i="2"/>
  <c r="L373" i="2"/>
  <c r="L372" i="2" s="1"/>
  <c r="P371" i="2"/>
  <c r="M371" i="2"/>
  <c r="L371" i="2"/>
  <c r="L23" i="2" s="1"/>
  <c r="K24" i="1" s="1"/>
  <c r="K371" i="2"/>
  <c r="J371" i="2"/>
  <c r="J23" i="2" s="1"/>
  <c r="I24" i="1" s="1"/>
  <c r="H371" i="2"/>
  <c r="G371" i="2"/>
  <c r="G23" i="2" s="1"/>
  <c r="F24" i="1" s="1"/>
  <c r="F371" i="2"/>
  <c r="E371" i="2"/>
  <c r="M370" i="2"/>
  <c r="L370" i="2"/>
  <c r="K370" i="2"/>
  <c r="J370" i="2"/>
  <c r="P369" i="2"/>
  <c r="M369" i="2"/>
  <c r="L369" i="2"/>
  <c r="K369" i="2"/>
  <c r="J369" i="2"/>
  <c r="H369" i="2"/>
  <c r="G369" i="2"/>
  <c r="F369" i="2"/>
  <c r="E369" i="2"/>
  <c r="D369" i="2"/>
  <c r="P368" i="2"/>
  <c r="M368" i="2"/>
  <c r="L368" i="2"/>
  <c r="K368" i="2"/>
  <c r="J368" i="2"/>
  <c r="H368" i="2"/>
  <c r="G368" i="2"/>
  <c r="F368" i="2"/>
  <c r="E368" i="2"/>
  <c r="D368" i="2"/>
  <c r="I365" i="2"/>
  <c r="K364" i="2"/>
  <c r="K363" i="2" s="1"/>
  <c r="J364" i="2"/>
  <c r="J363" i="2" s="1"/>
  <c r="I362" i="2"/>
  <c r="M361" i="2"/>
  <c r="M360" i="2" s="1"/>
  <c r="L361" i="2"/>
  <c r="L360" i="2" s="1"/>
  <c r="K361" i="2"/>
  <c r="K360" i="2" s="1"/>
  <c r="J361" i="2"/>
  <c r="J360" i="2" s="1"/>
  <c r="R358" i="2"/>
  <c r="N358" i="2"/>
  <c r="O358" i="2" s="1"/>
  <c r="I358" i="2"/>
  <c r="I357" i="2" s="1"/>
  <c r="P357" i="2"/>
  <c r="M357" i="2"/>
  <c r="L357" i="2"/>
  <c r="K357" i="2"/>
  <c r="J357" i="2"/>
  <c r="R356" i="2"/>
  <c r="N356" i="2"/>
  <c r="I356" i="2"/>
  <c r="I355" i="2" s="1"/>
  <c r="P355" i="2"/>
  <c r="M355" i="2"/>
  <c r="L355" i="2"/>
  <c r="L354" i="2" s="1"/>
  <c r="K355" i="2"/>
  <c r="J354" i="2"/>
  <c r="R353" i="2"/>
  <c r="J353" i="2"/>
  <c r="J352" i="2" s="1"/>
  <c r="P352" i="2"/>
  <c r="M352" i="2"/>
  <c r="L352" i="2"/>
  <c r="K352" i="2"/>
  <c r="R351" i="2"/>
  <c r="N351" i="2"/>
  <c r="I351" i="2"/>
  <c r="R350" i="2"/>
  <c r="P349" i="2"/>
  <c r="M349" i="2"/>
  <c r="L349" i="2"/>
  <c r="K349" i="2"/>
  <c r="K348" i="2" s="1"/>
  <c r="R346" i="2"/>
  <c r="P345" i="2"/>
  <c r="Q345" i="2" s="1"/>
  <c r="M345" i="2"/>
  <c r="M344" i="2" s="1"/>
  <c r="L345" i="2"/>
  <c r="L344" i="2" s="1"/>
  <c r="R343" i="2"/>
  <c r="N343" i="2"/>
  <c r="O343" i="2" s="1"/>
  <c r="P342" i="2"/>
  <c r="M342" i="2"/>
  <c r="L342" i="2"/>
  <c r="R341" i="2"/>
  <c r="P340" i="2"/>
  <c r="M340" i="2"/>
  <c r="L340" i="2"/>
  <c r="R337" i="2"/>
  <c r="N337" i="2"/>
  <c r="I337" i="2"/>
  <c r="I336" i="2" s="1"/>
  <c r="P336" i="2"/>
  <c r="M336" i="2"/>
  <c r="M335" i="2" s="1"/>
  <c r="L336" i="2"/>
  <c r="R334" i="2"/>
  <c r="N334" i="2"/>
  <c r="I334" i="2"/>
  <c r="I333" i="2" s="1"/>
  <c r="P333" i="2"/>
  <c r="M333" i="2"/>
  <c r="L333" i="2"/>
  <c r="J333" i="2"/>
  <c r="R332" i="2"/>
  <c r="P331" i="2"/>
  <c r="M331" i="2"/>
  <c r="L331" i="2"/>
  <c r="R328" i="2"/>
  <c r="N328" i="2"/>
  <c r="I328" i="2"/>
  <c r="I327" i="2" s="1"/>
  <c r="I326" i="2" s="1"/>
  <c r="P327" i="2"/>
  <c r="M327" i="2"/>
  <c r="M326" i="2" s="1"/>
  <c r="L327" i="2"/>
  <c r="L326" i="2" s="1"/>
  <c r="K327" i="2"/>
  <c r="R325" i="2"/>
  <c r="K325" i="2"/>
  <c r="P324" i="2"/>
  <c r="M324" i="2"/>
  <c r="L324" i="2"/>
  <c r="R323" i="2"/>
  <c r="N323" i="2"/>
  <c r="P322" i="2"/>
  <c r="Q322" i="2" s="1"/>
  <c r="M322" i="2"/>
  <c r="L322" i="2"/>
  <c r="R319" i="2"/>
  <c r="N319" i="2"/>
  <c r="I319" i="2"/>
  <c r="I318" i="2" s="1"/>
  <c r="I317" i="2" s="1"/>
  <c r="P318" i="2"/>
  <c r="P317" i="2" s="1"/>
  <c r="M318" i="2"/>
  <c r="M317" i="2" s="1"/>
  <c r="L318" i="2"/>
  <c r="L317" i="2" s="1"/>
  <c r="K318" i="2"/>
  <c r="R316" i="2"/>
  <c r="N316" i="2"/>
  <c r="I316" i="2"/>
  <c r="I315" i="2" s="1"/>
  <c r="P315" i="2"/>
  <c r="M315" i="2"/>
  <c r="L315" i="2"/>
  <c r="K315" i="2"/>
  <c r="J315" i="2"/>
  <c r="R314" i="2"/>
  <c r="N314" i="2"/>
  <c r="I314" i="2"/>
  <c r="I313" i="2" s="1"/>
  <c r="I312" i="2" s="1"/>
  <c r="P313" i="2"/>
  <c r="Q313" i="2" s="1"/>
  <c r="M313" i="2"/>
  <c r="L313" i="2"/>
  <c r="K313" i="2"/>
  <c r="J313" i="2"/>
  <c r="R310" i="2"/>
  <c r="N310" i="2"/>
  <c r="I310" i="2"/>
  <c r="I309" i="2" s="1"/>
  <c r="I308" i="2" s="1"/>
  <c r="P309" i="2"/>
  <c r="P308" i="2" s="1"/>
  <c r="M309" i="2"/>
  <c r="M308" i="2" s="1"/>
  <c r="L309" i="2"/>
  <c r="L308" i="2" s="1"/>
  <c r="K309" i="2"/>
  <c r="K308" i="2" s="1"/>
  <c r="J308" i="2"/>
  <c r="R307" i="2"/>
  <c r="N307" i="2"/>
  <c r="N306" i="2" s="1"/>
  <c r="I307" i="2"/>
  <c r="P306" i="2"/>
  <c r="M306" i="2"/>
  <c r="L306" i="2"/>
  <c r="K306" i="2"/>
  <c r="J306" i="2"/>
  <c r="I306" i="2"/>
  <c r="R305" i="2"/>
  <c r="N305" i="2"/>
  <c r="O305" i="2" s="1"/>
  <c r="I305" i="2"/>
  <c r="I304" i="2" s="1"/>
  <c r="P304" i="2"/>
  <c r="Q304" i="2" s="1"/>
  <c r="M304" i="2"/>
  <c r="L304" i="2"/>
  <c r="K304" i="2"/>
  <c r="J304" i="2"/>
  <c r="R301" i="2"/>
  <c r="N301" i="2"/>
  <c r="I301" i="2"/>
  <c r="I300" i="2" s="1"/>
  <c r="I299" i="2" s="1"/>
  <c r="P300" i="2"/>
  <c r="M300" i="2"/>
  <c r="L300" i="2"/>
  <c r="M299" i="2"/>
  <c r="R298" i="2"/>
  <c r="N298" i="2"/>
  <c r="O298" i="2" s="1"/>
  <c r="I298" i="2"/>
  <c r="I297" i="2" s="1"/>
  <c r="P297" i="2"/>
  <c r="M297" i="2"/>
  <c r="L297" i="2"/>
  <c r="J297" i="2"/>
  <c r="R296" i="2"/>
  <c r="N296" i="2"/>
  <c r="O296" i="2" s="1"/>
  <c r="I296" i="2"/>
  <c r="I295" i="2" s="1"/>
  <c r="P295" i="2"/>
  <c r="Q295" i="2" s="1"/>
  <c r="M295" i="2"/>
  <c r="L295" i="2"/>
  <c r="J295" i="2"/>
  <c r="R292" i="2"/>
  <c r="N292" i="2"/>
  <c r="I292" i="2"/>
  <c r="I291" i="2" s="1"/>
  <c r="I290" i="2" s="1"/>
  <c r="P291" i="2"/>
  <c r="M291" i="2"/>
  <c r="M290" i="2" s="1"/>
  <c r="L291" i="2"/>
  <c r="K291" i="2"/>
  <c r="L290" i="2"/>
  <c r="R289" i="2"/>
  <c r="N289" i="2"/>
  <c r="I289" i="2"/>
  <c r="I288" i="2" s="1"/>
  <c r="M288" i="2"/>
  <c r="L288" i="2"/>
  <c r="R288" i="2" s="1"/>
  <c r="K288" i="2"/>
  <c r="K285" i="2" s="1"/>
  <c r="J288" i="2"/>
  <c r="R287" i="2"/>
  <c r="N287" i="2"/>
  <c r="I287" i="2"/>
  <c r="I286" i="2" s="1"/>
  <c r="P286" i="2"/>
  <c r="M286" i="2"/>
  <c r="L286" i="2"/>
  <c r="J286" i="2"/>
  <c r="R283" i="2"/>
  <c r="N283" i="2"/>
  <c r="I283" i="2"/>
  <c r="I282" i="2" s="1"/>
  <c r="I281" i="2" s="1"/>
  <c r="P282" i="2"/>
  <c r="Q282" i="2" s="1"/>
  <c r="M282" i="2"/>
  <c r="M281" i="2" s="1"/>
  <c r="L282" i="2"/>
  <c r="L281" i="2" s="1"/>
  <c r="R280" i="2"/>
  <c r="N280" i="2"/>
  <c r="O280" i="2" s="1"/>
  <c r="I280" i="2"/>
  <c r="I279" i="2" s="1"/>
  <c r="P279" i="2"/>
  <c r="M279" i="2"/>
  <c r="L279" i="2"/>
  <c r="J279" i="2"/>
  <c r="R278" i="2"/>
  <c r="N278" i="2"/>
  <c r="O278" i="2" s="1"/>
  <c r="I278" i="2"/>
  <c r="I277" i="2" s="1"/>
  <c r="P277" i="2"/>
  <c r="M277" i="2"/>
  <c r="L277" i="2"/>
  <c r="J277" i="2"/>
  <c r="R274" i="2"/>
  <c r="N274" i="2"/>
  <c r="I274" i="2"/>
  <c r="I273" i="2" s="1"/>
  <c r="I272" i="2" s="1"/>
  <c r="P273" i="2"/>
  <c r="Q273" i="2" s="1"/>
  <c r="M273" i="2"/>
  <c r="M272" i="2" s="1"/>
  <c r="R271" i="2"/>
  <c r="N271" i="2"/>
  <c r="I271" i="2"/>
  <c r="I270" i="2" s="1"/>
  <c r="P270" i="2"/>
  <c r="Q270" i="2" s="1"/>
  <c r="M270" i="2"/>
  <c r="L270" i="2"/>
  <c r="J270" i="2"/>
  <c r="R269" i="2"/>
  <c r="N269" i="2"/>
  <c r="O269" i="2" s="1"/>
  <c r="I269" i="2"/>
  <c r="I268" i="2" s="1"/>
  <c r="P268" i="2"/>
  <c r="Q268" i="2" s="1"/>
  <c r="M268" i="2"/>
  <c r="L268" i="2"/>
  <c r="J268" i="2"/>
  <c r="R265" i="2"/>
  <c r="I265" i="2"/>
  <c r="M264" i="2"/>
  <c r="M263" i="2" s="1"/>
  <c r="R262" i="2"/>
  <c r="N262" i="2"/>
  <c r="I262" i="2"/>
  <c r="I261" i="2" s="1"/>
  <c r="P261" i="2"/>
  <c r="Q261" i="2" s="1"/>
  <c r="M261" i="2"/>
  <c r="L261" i="2"/>
  <c r="J261" i="2"/>
  <c r="R260" i="2"/>
  <c r="N260" i="2"/>
  <c r="I260" i="2"/>
  <c r="I259" i="2" s="1"/>
  <c r="P259" i="2"/>
  <c r="Q259" i="2" s="1"/>
  <c r="M259" i="2"/>
  <c r="L259" i="2"/>
  <c r="J259" i="2"/>
  <c r="R256" i="2"/>
  <c r="N256" i="2"/>
  <c r="I256" i="2"/>
  <c r="I255" i="2" s="1"/>
  <c r="P255" i="2"/>
  <c r="Q255" i="2" s="1"/>
  <c r="M255" i="2"/>
  <c r="L255" i="2"/>
  <c r="R254" i="2"/>
  <c r="N254" i="2"/>
  <c r="I254" i="2"/>
  <c r="I253" i="2" s="1"/>
  <c r="P253" i="2"/>
  <c r="Q253" i="2" s="1"/>
  <c r="M253" i="2"/>
  <c r="L253" i="2"/>
  <c r="R251" i="2"/>
  <c r="N251" i="2"/>
  <c r="O251" i="2" s="1"/>
  <c r="I251" i="2"/>
  <c r="I250" i="2" s="1"/>
  <c r="P250" i="2"/>
  <c r="M250" i="2"/>
  <c r="L250" i="2"/>
  <c r="J250" i="2"/>
  <c r="R249" i="2"/>
  <c r="N249" i="2"/>
  <c r="O249" i="2" s="1"/>
  <c r="I249" i="2"/>
  <c r="R248" i="2"/>
  <c r="N248" i="2"/>
  <c r="I248" i="2"/>
  <c r="P247" i="2"/>
  <c r="M247" i="2"/>
  <c r="M246" i="2" s="1"/>
  <c r="L247" i="2"/>
  <c r="L246" i="2" s="1"/>
  <c r="J247" i="2"/>
  <c r="R244" i="2"/>
  <c r="I244" i="2"/>
  <c r="P243" i="2"/>
  <c r="Q243" i="2" s="1"/>
  <c r="M243" i="2"/>
  <c r="M242" i="2" s="1"/>
  <c r="J243" i="2"/>
  <c r="J242" i="2" s="1"/>
  <c r="R241" i="2"/>
  <c r="N241" i="2"/>
  <c r="I241" i="2"/>
  <c r="I240" i="2" s="1"/>
  <c r="P240" i="2"/>
  <c r="Q240" i="2" s="1"/>
  <c r="M240" i="2"/>
  <c r="L240" i="2"/>
  <c r="R239" i="2"/>
  <c r="N239" i="2"/>
  <c r="O239" i="2" s="1"/>
  <c r="I239" i="2"/>
  <c r="I238" i="2" s="1"/>
  <c r="P238" i="2"/>
  <c r="Q238" i="2" s="1"/>
  <c r="M238" i="2"/>
  <c r="L238" i="2"/>
  <c r="R235" i="2"/>
  <c r="N235" i="2"/>
  <c r="O235" i="2" s="1"/>
  <c r="I235" i="2"/>
  <c r="I234" i="2" s="1"/>
  <c r="P234" i="2"/>
  <c r="M234" i="2"/>
  <c r="L234" i="2"/>
  <c r="J234" i="2"/>
  <c r="J231" i="2" s="1"/>
  <c r="R233" i="2"/>
  <c r="N233" i="2"/>
  <c r="O233" i="2" s="1"/>
  <c r="I233" i="2"/>
  <c r="I232" i="2" s="1"/>
  <c r="P232" i="2"/>
  <c r="R232" i="2" s="1"/>
  <c r="M232" i="2"/>
  <c r="K232" i="2"/>
  <c r="K231" i="2" s="1"/>
  <c r="L231" i="2"/>
  <c r="R230" i="2"/>
  <c r="P229" i="2"/>
  <c r="M229" i="2"/>
  <c r="L229" i="2"/>
  <c r="K229" i="2"/>
  <c r="J229" i="2"/>
  <c r="R228" i="2"/>
  <c r="N228" i="2"/>
  <c r="I228" i="2"/>
  <c r="R227" i="2"/>
  <c r="N227" i="2"/>
  <c r="O227" i="2" s="1"/>
  <c r="P226" i="2"/>
  <c r="Q226" i="2" s="1"/>
  <c r="M226" i="2"/>
  <c r="M225" i="2" s="1"/>
  <c r="L226" i="2"/>
  <c r="L225" i="2" s="1"/>
  <c r="K226" i="2"/>
  <c r="K225" i="2" s="1"/>
  <c r="J226" i="2"/>
  <c r="J225" i="2" s="1"/>
  <c r="R223" i="2"/>
  <c r="I223" i="2"/>
  <c r="I222" i="2" s="1"/>
  <c r="P222" i="2"/>
  <c r="M222" i="2"/>
  <c r="M221" i="2" s="1"/>
  <c r="L222" i="2"/>
  <c r="L221" i="2" s="1"/>
  <c r="J222" i="2"/>
  <c r="J221" i="2" s="1"/>
  <c r="R220" i="2"/>
  <c r="N220" i="2"/>
  <c r="I220" i="2"/>
  <c r="I219" i="2" s="1"/>
  <c r="P219" i="2"/>
  <c r="Q219" i="2" s="1"/>
  <c r="M219" i="2"/>
  <c r="L219" i="2"/>
  <c r="J219" i="2"/>
  <c r="R218" i="2"/>
  <c r="N218" i="2"/>
  <c r="I218" i="2"/>
  <c r="P217" i="2"/>
  <c r="Q217" i="2" s="1"/>
  <c r="M217" i="2"/>
  <c r="L217" i="2"/>
  <c r="J217" i="2"/>
  <c r="R214" i="2"/>
  <c r="N214" i="2"/>
  <c r="I214" i="2"/>
  <c r="I213" i="2" s="1"/>
  <c r="P213" i="2"/>
  <c r="Q213" i="2" s="1"/>
  <c r="M213" i="2"/>
  <c r="L213" i="2"/>
  <c r="R212" i="2"/>
  <c r="N212" i="2"/>
  <c r="I212" i="2"/>
  <c r="I211" i="2" s="1"/>
  <c r="P211" i="2"/>
  <c r="M211" i="2"/>
  <c r="L211" i="2"/>
  <c r="R209" i="2"/>
  <c r="P208" i="2"/>
  <c r="M208" i="2"/>
  <c r="L208" i="2"/>
  <c r="R207" i="2"/>
  <c r="N207" i="2"/>
  <c r="I207" i="2"/>
  <c r="R206" i="2"/>
  <c r="N206" i="2"/>
  <c r="O206" i="2" s="1"/>
  <c r="P205" i="2"/>
  <c r="Q205" i="2" s="1"/>
  <c r="M205" i="2"/>
  <c r="L205" i="2"/>
  <c r="J205" i="2"/>
  <c r="R202" i="2"/>
  <c r="N202" i="2"/>
  <c r="I202" i="2"/>
  <c r="I201" i="2" s="1"/>
  <c r="P201" i="2"/>
  <c r="M201" i="2"/>
  <c r="L201" i="2"/>
  <c r="J201" i="2"/>
  <c r="R200" i="2"/>
  <c r="J200" i="2"/>
  <c r="P199" i="2"/>
  <c r="M199" i="2"/>
  <c r="L199" i="2"/>
  <c r="R197" i="2"/>
  <c r="N197" i="2"/>
  <c r="O197" i="2" s="1"/>
  <c r="P196" i="2"/>
  <c r="M196" i="2"/>
  <c r="L196" i="2"/>
  <c r="J196" i="2"/>
  <c r="R195" i="2"/>
  <c r="J195" i="2"/>
  <c r="J38" i="2" s="1"/>
  <c r="R194" i="2"/>
  <c r="P193" i="2"/>
  <c r="Q193" i="2" s="1"/>
  <c r="M193" i="2"/>
  <c r="L193" i="2"/>
  <c r="R190" i="2"/>
  <c r="N190" i="2"/>
  <c r="O190" i="2" s="1"/>
  <c r="I190" i="2"/>
  <c r="I189" i="2" s="1"/>
  <c r="I188" i="2" s="1"/>
  <c r="P189" i="2"/>
  <c r="P188" i="2" s="1"/>
  <c r="M189" i="2"/>
  <c r="M188" i="2" s="1"/>
  <c r="L189" i="2"/>
  <c r="L188" i="2" s="1"/>
  <c r="J189" i="2"/>
  <c r="J188" i="2" s="1"/>
  <c r="R187" i="2"/>
  <c r="N187" i="2"/>
  <c r="O187" i="2" s="1"/>
  <c r="P186" i="2"/>
  <c r="M186" i="2"/>
  <c r="L186" i="2"/>
  <c r="J186" i="2"/>
  <c r="R185" i="2"/>
  <c r="P184" i="2"/>
  <c r="M184" i="2"/>
  <c r="L184" i="2"/>
  <c r="R181" i="2"/>
  <c r="N181" i="2"/>
  <c r="I181" i="2"/>
  <c r="I180" i="2" s="1"/>
  <c r="P180" i="2"/>
  <c r="M180" i="2"/>
  <c r="M179" i="2" s="1"/>
  <c r="L180" i="2"/>
  <c r="L179" i="2" s="1"/>
  <c r="R178" i="2"/>
  <c r="N178" i="2"/>
  <c r="I178" i="2"/>
  <c r="I177" i="2" s="1"/>
  <c r="P177" i="2"/>
  <c r="M177" i="2"/>
  <c r="L177" i="2"/>
  <c r="J177" i="2"/>
  <c r="R176" i="2"/>
  <c r="N176" i="2"/>
  <c r="O176" i="2" s="1"/>
  <c r="I176" i="2"/>
  <c r="I175" i="2" s="1"/>
  <c r="P175" i="2"/>
  <c r="M175" i="2"/>
  <c r="L175" i="2"/>
  <c r="J175" i="2"/>
  <c r="R172" i="2"/>
  <c r="N172" i="2"/>
  <c r="I172" i="2"/>
  <c r="P171" i="2"/>
  <c r="M171" i="2"/>
  <c r="L171" i="2"/>
  <c r="K171" i="2"/>
  <c r="J171" i="2"/>
  <c r="I171" i="2"/>
  <c r="R170" i="2"/>
  <c r="N170" i="2"/>
  <c r="O170" i="2" s="1"/>
  <c r="I170" i="2"/>
  <c r="I169" i="2" s="1"/>
  <c r="P169" i="2"/>
  <c r="M169" i="2"/>
  <c r="L169" i="2"/>
  <c r="K169" i="2"/>
  <c r="J169" i="2"/>
  <c r="M168" i="2"/>
  <c r="R167" i="2"/>
  <c r="N167" i="2"/>
  <c r="O167" i="2" s="1"/>
  <c r="P166" i="2"/>
  <c r="M166" i="2"/>
  <c r="L166" i="2"/>
  <c r="K166" i="2"/>
  <c r="J166" i="2"/>
  <c r="R165" i="2"/>
  <c r="N165" i="2"/>
  <c r="I165" i="2"/>
  <c r="R164" i="2"/>
  <c r="P163" i="2"/>
  <c r="Q163" i="2" s="1"/>
  <c r="M163" i="2"/>
  <c r="L163" i="2"/>
  <c r="K163" i="2"/>
  <c r="R160" i="2"/>
  <c r="N160" i="2"/>
  <c r="I160" i="2"/>
  <c r="I159" i="2" s="1"/>
  <c r="P159" i="2"/>
  <c r="M159" i="2"/>
  <c r="L159" i="2"/>
  <c r="L158" i="2" s="1"/>
  <c r="M158" i="2"/>
  <c r="R157" i="2"/>
  <c r="N157" i="2"/>
  <c r="O157" i="2" s="1"/>
  <c r="P156" i="2"/>
  <c r="M156" i="2"/>
  <c r="L156" i="2"/>
  <c r="R155" i="2"/>
  <c r="P154" i="2"/>
  <c r="Q154" i="2" s="1"/>
  <c r="M154" i="2"/>
  <c r="L154" i="2"/>
  <c r="R151" i="2"/>
  <c r="N151" i="2"/>
  <c r="O151" i="2" s="1"/>
  <c r="I151" i="2"/>
  <c r="I150" i="2" s="1"/>
  <c r="P150" i="2"/>
  <c r="M150" i="2"/>
  <c r="L150" i="2"/>
  <c r="J150" i="2"/>
  <c r="R149" i="2"/>
  <c r="N149" i="2"/>
  <c r="I149" i="2"/>
  <c r="I148" i="2" s="1"/>
  <c r="N148" i="2"/>
  <c r="O148" i="2" s="1"/>
  <c r="M148" i="2"/>
  <c r="L148" i="2"/>
  <c r="R148" i="2" s="1"/>
  <c r="J148" i="2"/>
  <c r="R146" i="2"/>
  <c r="N146" i="2"/>
  <c r="O146" i="2" s="1"/>
  <c r="I146" i="2"/>
  <c r="I145" i="2" s="1"/>
  <c r="P145" i="2"/>
  <c r="Q145" i="2" s="1"/>
  <c r="L145" i="2"/>
  <c r="J145" i="2"/>
  <c r="R144" i="2"/>
  <c r="N144" i="2"/>
  <c r="I144" i="2"/>
  <c r="R143" i="2"/>
  <c r="N143" i="2"/>
  <c r="I143" i="2"/>
  <c r="P142" i="2"/>
  <c r="Q142" i="2" s="1"/>
  <c r="L142" i="2"/>
  <c r="J142" i="2"/>
  <c r="R139" i="2"/>
  <c r="N139" i="2"/>
  <c r="I139" i="2"/>
  <c r="R138" i="2"/>
  <c r="N138" i="2"/>
  <c r="I138" i="2"/>
  <c r="P137" i="2"/>
  <c r="Q137" i="2" s="1"/>
  <c r="M137" i="2"/>
  <c r="L137" i="2"/>
  <c r="R136" i="2"/>
  <c r="N136" i="2"/>
  <c r="I136" i="2"/>
  <c r="I135" i="2" s="1"/>
  <c r="P135" i="2"/>
  <c r="Q135" i="2" s="1"/>
  <c r="M135" i="2"/>
  <c r="L135" i="2"/>
  <c r="R133" i="2"/>
  <c r="N133" i="2"/>
  <c r="O133" i="2" s="1"/>
  <c r="I133" i="2"/>
  <c r="R132" i="2"/>
  <c r="N132" i="2"/>
  <c r="I132" i="2"/>
  <c r="P131" i="2"/>
  <c r="M131" i="2"/>
  <c r="L131" i="2"/>
  <c r="J131" i="2"/>
  <c r="R130" i="2"/>
  <c r="I130" i="2"/>
  <c r="R129" i="2"/>
  <c r="N129" i="2"/>
  <c r="O129" i="2" s="1"/>
  <c r="M128" i="2"/>
  <c r="L128" i="2"/>
  <c r="J128" i="2"/>
  <c r="R125" i="2"/>
  <c r="N125" i="2"/>
  <c r="I125" i="2"/>
  <c r="R124" i="2"/>
  <c r="N124" i="2"/>
  <c r="I124" i="2"/>
  <c r="P123" i="2"/>
  <c r="Q123" i="2" s="1"/>
  <c r="M123" i="2"/>
  <c r="L123" i="2"/>
  <c r="R122" i="2"/>
  <c r="N122" i="2"/>
  <c r="I122" i="2"/>
  <c r="R121" i="2"/>
  <c r="N121" i="2"/>
  <c r="O121" i="2" s="1"/>
  <c r="I121" i="2"/>
  <c r="P120" i="2"/>
  <c r="Q120" i="2" s="1"/>
  <c r="M120" i="2"/>
  <c r="L120" i="2"/>
  <c r="R118" i="2"/>
  <c r="N118" i="2"/>
  <c r="O118" i="2" s="1"/>
  <c r="R117" i="2"/>
  <c r="N117" i="2"/>
  <c r="I117" i="2"/>
  <c r="P116" i="2"/>
  <c r="M116" i="2"/>
  <c r="L116" i="2"/>
  <c r="J116" i="2"/>
  <c r="R115" i="2"/>
  <c r="I115" i="2"/>
  <c r="R114" i="2"/>
  <c r="N114" i="2"/>
  <c r="O114" i="2" s="1"/>
  <c r="I114" i="2"/>
  <c r="R113" i="2"/>
  <c r="N113" i="2"/>
  <c r="I113" i="2"/>
  <c r="M112" i="2"/>
  <c r="L112" i="2"/>
  <c r="J112" i="2"/>
  <c r="R109" i="2"/>
  <c r="N109" i="2"/>
  <c r="I109" i="2"/>
  <c r="R108" i="2"/>
  <c r="N108" i="2"/>
  <c r="I108" i="2"/>
  <c r="D48" i="2"/>
  <c r="P107" i="2"/>
  <c r="Q107" i="2" s="1"/>
  <c r="M107" i="2"/>
  <c r="L107" i="2"/>
  <c r="R106" i="2"/>
  <c r="N106" i="2"/>
  <c r="I106" i="2"/>
  <c r="I105" i="2"/>
  <c r="M104" i="2"/>
  <c r="L104" i="2"/>
  <c r="R102" i="2"/>
  <c r="R101" i="2"/>
  <c r="N101" i="2"/>
  <c r="I101" i="2"/>
  <c r="P100" i="2"/>
  <c r="M100" i="2"/>
  <c r="L100" i="2"/>
  <c r="J100" i="2"/>
  <c r="I99" i="2"/>
  <c r="R98" i="2"/>
  <c r="N98" i="2"/>
  <c r="O98" i="2" s="1"/>
  <c r="I98" i="2"/>
  <c r="M96" i="2"/>
  <c r="L96" i="2"/>
  <c r="R93" i="2"/>
  <c r="N93" i="2"/>
  <c r="O93" i="2" s="1"/>
  <c r="I93" i="2"/>
  <c r="R92" i="2"/>
  <c r="N92" i="2"/>
  <c r="I92" i="2"/>
  <c r="P91" i="2"/>
  <c r="Q91" i="2" s="1"/>
  <c r="M91" i="2"/>
  <c r="L91" i="2"/>
  <c r="R90" i="2"/>
  <c r="N90" i="2"/>
  <c r="I90" i="2"/>
  <c r="I89" i="2" s="1"/>
  <c r="P89" i="2"/>
  <c r="Q89" i="2" s="1"/>
  <c r="M89" i="2"/>
  <c r="L89" i="2"/>
  <c r="J89" i="2"/>
  <c r="J88" i="2" s="1"/>
  <c r="R87" i="2"/>
  <c r="R86" i="2"/>
  <c r="N86" i="2"/>
  <c r="I86" i="2"/>
  <c r="P85" i="2"/>
  <c r="M85" i="2"/>
  <c r="L85" i="2"/>
  <c r="J85" i="2"/>
  <c r="N84" i="2"/>
  <c r="O84" i="2" s="1"/>
  <c r="R83" i="2"/>
  <c r="N83" i="2"/>
  <c r="I83" i="2"/>
  <c r="M82" i="2"/>
  <c r="L82" i="2"/>
  <c r="J82" i="2"/>
  <c r="R79" i="2"/>
  <c r="N79" i="2"/>
  <c r="I79" i="2"/>
  <c r="R78" i="2"/>
  <c r="N78" i="2"/>
  <c r="I78" i="2"/>
  <c r="P77" i="2"/>
  <c r="Q77" i="2" s="1"/>
  <c r="M77" i="2"/>
  <c r="L77" i="2"/>
  <c r="R76" i="2"/>
  <c r="N76" i="2"/>
  <c r="O76" i="2" s="1"/>
  <c r="I76" i="2"/>
  <c r="R75" i="2"/>
  <c r="I75" i="2"/>
  <c r="P74" i="2"/>
  <c r="Q74" i="2" s="1"/>
  <c r="M74" i="2"/>
  <c r="L74" i="2"/>
  <c r="R71" i="2"/>
  <c r="N71" i="2"/>
  <c r="I71" i="2"/>
  <c r="M70" i="2"/>
  <c r="L70" i="2"/>
  <c r="R68" i="2"/>
  <c r="N68" i="2"/>
  <c r="O68" i="2" s="1"/>
  <c r="I68" i="2"/>
  <c r="R67" i="2"/>
  <c r="N67" i="2"/>
  <c r="I67" i="2"/>
  <c r="M66" i="2"/>
  <c r="M65" i="2" s="1"/>
  <c r="L66" i="2"/>
  <c r="R63" i="2"/>
  <c r="N63" i="2"/>
  <c r="O63" i="2" s="1"/>
  <c r="I63" i="2"/>
  <c r="R62" i="2"/>
  <c r="P61" i="2"/>
  <c r="Q61" i="2" s="1"/>
  <c r="M61" i="2"/>
  <c r="L61" i="2"/>
  <c r="R60" i="2"/>
  <c r="N60" i="2"/>
  <c r="I60" i="2"/>
  <c r="I59" i="2" s="1"/>
  <c r="P59" i="2"/>
  <c r="Q59" i="2" s="1"/>
  <c r="M59" i="2"/>
  <c r="L59" i="2"/>
  <c r="R57" i="2"/>
  <c r="N57" i="2"/>
  <c r="O57" i="2" s="1"/>
  <c r="I57" i="2"/>
  <c r="R56" i="2"/>
  <c r="P55" i="2"/>
  <c r="M55" i="2"/>
  <c r="L55" i="2"/>
  <c r="R54" i="2"/>
  <c r="R53" i="2"/>
  <c r="N53" i="2"/>
  <c r="I53" i="2"/>
  <c r="P52" i="2"/>
  <c r="Q52" i="2" s="1"/>
  <c r="M52" i="2"/>
  <c r="L52" i="2"/>
  <c r="P48" i="2"/>
  <c r="M48" i="2"/>
  <c r="M47" i="2" s="1"/>
  <c r="L48" i="2"/>
  <c r="K48" i="2"/>
  <c r="K47" i="2" s="1"/>
  <c r="J48" i="2"/>
  <c r="J47" i="2" s="1"/>
  <c r="H48" i="2"/>
  <c r="G48" i="2"/>
  <c r="G47" i="2" s="1"/>
  <c r="F48" i="2"/>
  <c r="E48" i="2"/>
  <c r="E47" i="2" s="1"/>
  <c r="P46" i="2"/>
  <c r="M46" i="2"/>
  <c r="L46" i="2"/>
  <c r="K46" i="2"/>
  <c r="J46" i="2"/>
  <c r="H46" i="2"/>
  <c r="G46" i="2"/>
  <c r="G30" i="2" s="1"/>
  <c r="F46" i="2"/>
  <c r="E46" i="2"/>
  <c r="M45" i="2"/>
  <c r="M28" i="2" s="1"/>
  <c r="L31" i="1" s="1"/>
  <c r="L45" i="2"/>
  <c r="K45" i="2"/>
  <c r="K28" i="2" s="1"/>
  <c r="J31" i="1" s="1"/>
  <c r="H45" i="2"/>
  <c r="G45" i="2"/>
  <c r="G28" i="2" s="1"/>
  <c r="F31" i="1" s="1"/>
  <c r="F45" i="2"/>
  <c r="E45" i="2"/>
  <c r="P41" i="2"/>
  <c r="M41" i="2"/>
  <c r="L41" i="2"/>
  <c r="K41" i="2"/>
  <c r="J41" i="2"/>
  <c r="H41" i="2"/>
  <c r="H22" i="2" s="1"/>
  <c r="G41" i="2"/>
  <c r="F41" i="2"/>
  <c r="F22" i="2" s="1"/>
  <c r="E41" i="2"/>
  <c r="E22" i="2" s="1"/>
  <c r="M40" i="2"/>
  <c r="M39" i="2"/>
  <c r="L39" i="2"/>
  <c r="L20" i="2" s="1"/>
  <c r="K39" i="2"/>
  <c r="H39" i="2"/>
  <c r="G39" i="2"/>
  <c r="F39" i="2"/>
  <c r="P38" i="2"/>
  <c r="M38" i="2"/>
  <c r="L38" i="2"/>
  <c r="L18" i="2" s="1"/>
  <c r="K19" i="1" s="1"/>
  <c r="K38" i="2"/>
  <c r="K18" i="2" s="1"/>
  <c r="J19" i="1" s="1"/>
  <c r="H38" i="2"/>
  <c r="G38" i="2"/>
  <c r="F38" i="2"/>
  <c r="E38" i="2"/>
  <c r="E18" i="2" s="1"/>
  <c r="D19" i="1" s="1"/>
  <c r="D38" i="2"/>
  <c r="Y37" i="2"/>
  <c r="P37" i="2"/>
  <c r="M37" i="2"/>
  <c r="L37" i="2"/>
  <c r="K37" i="2"/>
  <c r="K16" i="2" s="1"/>
  <c r="J37" i="2"/>
  <c r="H37" i="2"/>
  <c r="G37" i="2"/>
  <c r="F37" i="2"/>
  <c r="E37" i="2"/>
  <c r="M33" i="2"/>
  <c r="L38" i="1" s="1"/>
  <c r="K33" i="2"/>
  <c r="K31" i="2" s="1"/>
  <c r="M20" i="2"/>
  <c r="O65" i="1"/>
  <c r="G65" i="1"/>
  <c r="F65" i="1"/>
  <c r="E65" i="1"/>
  <c r="D65" i="1"/>
  <c r="O62" i="1"/>
  <c r="O36" i="1"/>
  <c r="L36" i="1"/>
  <c r="K36" i="1"/>
  <c r="J36" i="1"/>
  <c r="I36" i="1"/>
  <c r="G36" i="1"/>
  <c r="F36" i="1"/>
  <c r="E36" i="1"/>
  <c r="D36" i="1"/>
  <c r="C36" i="1"/>
  <c r="O30" i="1"/>
  <c r="L30" i="1"/>
  <c r="K30" i="1"/>
  <c r="J30" i="1"/>
  <c r="I30" i="1"/>
  <c r="G30" i="1"/>
  <c r="F30" i="1"/>
  <c r="E30" i="1"/>
  <c r="D30" i="1"/>
  <c r="O25" i="1"/>
  <c r="L25" i="1"/>
  <c r="K25" i="1"/>
  <c r="J25" i="1"/>
  <c r="I25" i="1"/>
  <c r="G25" i="1"/>
  <c r="F25" i="1"/>
  <c r="E25" i="1"/>
  <c r="D25" i="1"/>
  <c r="L21" i="1"/>
  <c r="J21" i="1"/>
  <c r="G21" i="1"/>
  <c r="F21" i="1"/>
  <c r="E21" i="1"/>
  <c r="P65" i="1" l="1"/>
  <c r="M26" i="1"/>
  <c r="M22" i="1" s="1"/>
  <c r="M14" i="1" s="1"/>
  <c r="M40" i="1" s="1"/>
  <c r="O18" i="9"/>
  <c r="P17" i="9"/>
  <c r="Q17" i="9" s="1"/>
  <c r="Q18" i="9"/>
  <c r="O57" i="9"/>
  <c r="P30" i="1"/>
  <c r="P36" i="1"/>
  <c r="P25" i="1"/>
  <c r="N36" i="1"/>
  <c r="N32" i="1"/>
  <c r="O28" i="10"/>
  <c r="O30" i="10"/>
  <c r="Q28" i="10"/>
  <c r="I210" i="8"/>
  <c r="T208" i="8"/>
  <c r="O208" i="8"/>
  <c r="P218" i="8"/>
  <c r="Q218" i="8" s="1"/>
  <c r="Q219" i="8"/>
  <c r="T220" i="8"/>
  <c r="O220" i="8"/>
  <c r="N223" i="8"/>
  <c r="O223" i="8" s="1"/>
  <c r="O224" i="8"/>
  <c r="T225" i="8"/>
  <c r="O225" i="8"/>
  <c r="M13" i="8"/>
  <c r="O19" i="8"/>
  <c r="N207" i="8"/>
  <c r="O207" i="8" s="1"/>
  <c r="I207" i="8"/>
  <c r="P223" i="8"/>
  <c r="Q223" i="8" s="1"/>
  <c r="Q224" i="8"/>
  <c r="P111" i="8"/>
  <c r="Q111" i="8" s="1"/>
  <c r="T215" i="8"/>
  <c r="O215" i="8"/>
  <c r="T212" i="8"/>
  <c r="O212" i="8"/>
  <c r="T209" i="8"/>
  <c r="O209" i="8"/>
  <c r="O18" i="1"/>
  <c r="Q16" i="8"/>
  <c r="P203" i="8"/>
  <c r="Q203" i="8" s="1"/>
  <c r="Q204" i="8"/>
  <c r="T206" i="8"/>
  <c r="O206" i="8"/>
  <c r="T103" i="8"/>
  <c r="O103" i="8"/>
  <c r="N98" i="8"/>
  <c r="O98" i="8" s="1"/>
  <c r="O99" i="8"/>
  <c r="T100" i="8"/>
  <c r="O100" i="8"/>
  <c r="T96" i="8"/>
  <c r="O96" i="8"/>
  <c r="P74" i="8"/>
  <c r="Q74" i="8" s="1"/>
  <c r="Q75" i="8"/>
  <c r="P230" i="8"/>
  <c r="Q230" i="8" s="1"/>
  <c r="N110" i="6"/>
  <c r="O110" i="6" s="1"/>
  <c r="O111" i="6"/>
  <c r="O42" i="6"/>
  <c r="O50" i="6"/>
  <c r="N73" i="6"/>
  <c r="O74" i="6"/>
  <c r="O59" i="6"/>
  <c r="O55" i="6"/>
  <c r="N70" i="6"/>
  <c r="O71" i="6"/>
  <c r="O51" i="6"/>
  <c r="N63" i="6"/>
  <c r="O63" i="6" s="1"/>
  <c r="O64" i="6"/>
  <c r="O150" i="6"/>
  <c r="O116" i="6"/>
  <c r="O96" i="6"/>
  <c r="P99" i="6"/>
  <c r="Q99" i="6" s="1"/>
  <c r="Q100" i="6"/>
  <c r="O101" i="6"/>
  <c r="O44" i="6"/>
  <c r="O48" i="6"/>
  <c r="N80" i="6"/>
  <c r="O81" i="6"/>
  <c r="N77" i="6"/>
  <c r="O78" i="6"/>
  <c r="O61" i="6"/>
  <c r="O54" i="6"/>
  <c r="O49" i="6"/>
  <c r="N104" i="6"/>
  <c r="O104" i="6" s="1"/>
  <c r="Q88" i="6"/>
  <c r="O32" i="6"/>
  <c r="P38" i="3"/>
  <c r="Q38" i="3" s="1"/>
  <c r="Q39" i="3"/>
  <c r="M303" i="2"/>
  <c r="L141" i="2"/>
  <c r="J147" i="2"/>
  <c r="J276" i="2"/>
  <c r="M276" i="2"/>
  <c r="K303" i="2"/>
  <c r="I303" i="2"/>
  <c r="M321" i="2"/>
  <c r="O423" i="2"/>
  <c r="O427" i="2"/>
  <c r="Q433" i="2"/>
  <c r="Q37" i="2"/>
  <c r="Q41" i="2"/>
  <c r="Q46" i="2"/>
  <c r="O60" i="2"/>
  <c r="O67" i="2"/>
  <c r="O71" i="2"/>
  <c r="O78" i="2"/>
  <c r="O83" i="2"/>
  <c r="O86" i="2"/>
  <c r="N89" i="2"/>
  <c r="O89" i="2" s="1"/>
  <c r="O90" i="2"/>
  <c r="O92" i="2"/>
  <c r="O106" i="2"/>
  <c r="O109" i="2"/>
  <c r="O124" i="2"/>
  <c r="O132" i="2"/>
  <c r="O139" i="2"/>
  <c r="J141" i="2"/>
  <c r="O149" i="2"/>
  <c r="K162" i="2"/>
  <c r="M162" i="2"/>
  <c r="O165" i="2"/>
  <c r="O178" i="2"/>
  <c r="O181" i="2"/>
  <c r="P221" i="2"/>
  <c r="Q221" i="2" s="1"/>
  <c r="Q222" i="2"/>
  <c r="N240" i="2"/>
  <c r="O240" i="2" s="1"/>
  <c r="O241" i="2"/>
  <c r="O262" i="2"/>
  <c r="O274" i="2"/>
  <c r="P299" i="2"/>
  <c r="Q299" i="2" s="1"/>
  <c r="Q300" i="2"/>
  <c r="O301" i="2"/>
  <c r="J303" i="2"/>
  <c r="O314" i="2"/>
  <c r="L321" i="2"/>
  <c r="O351" i="2"/>
  <c r="O356" i="2"/>
  <c r="O401" i="2"/>
  <c r="L403" i="2"/>
  <c r="O413" i="2"/>
  <c r="O415" i="2"/>
  <c r="N17" i="2"/>
  <c r="O17" i="2" s="1"/>
  <c r="O424" i="2"/>
  <c r="O425" i="2"/>
  <c r="P24" i="2"/>
  <c r="Q427" i="2"/>
  <c r="Q431" i="2"/>
  <c r="O433" i="2"/>
  <c r="P442" i="2"/>
  <c r="Q442" i="2" s="1"/>
  <c r="Q443" i="2"/>
  <c r="O444" i="2"/>
  <c r="O447" i="2"/>
  <c r="P508" i="2"/>
  <c r="Q508" i="2" s="1"/>
  <c r="Q509" i="2"/>
  <c r="N508" i="2"/>
  <c r="O508" i="2" s="1"/>
  <c r="O509" i="2"/>
  <c r="O519" i="2"/>
  <c r="Q456" i="2"/>
  <c r="Q48" i="2"/>
  <c r="O53" i="2"/>
  <c r="O79" i="2"/>
  <c r="O101" i="2"/>
  <c r="O108" i="2"/>
  <c r="O113" i="2"/>
  <c r="O117" i="2"/>
  <c r="O136" i="2"/>
  <c r="O138" i="2"/>
  <c r="P147" i="2"/>
  <c r="Q147" i="2" s="1"/>
  <c r="Q150" i="2"/>
  <c r="P158" i="2"/>
  <c r="Q158" i="2" s="1"/>
  <c r="Q159" i="2"/>
  <c r="O160" i="2"/>
  <c r="O172" i="2"/>
  <c r="N201" i="2"/>
  <c r="O201" i="2" s="1"/>
  <c r="O202" i="2"/>
  <c r="O207" i="2"/>
  <c r="O218" i="2"/>
  <c r="N219" i="2"/>
  <c r="O219" i="2" s="1"/>
  <c r="O220" i="2"/>
  <c r="O228" i="2"/>
  <c r="P246" i="2"/>
  <c r="Q246" i="2" s="1"/>
  <c r="Q247" i="2"/>
  <c r="O248" i="2"/>
  <c r="O254" i="2"/>
  <c r="O256" i="2"/>
  <c r="O260" i="2"/>
  <c r="O271" i="2"/>
  <c r="O283" i="2"/>
  <c r="P285" i="2"/>
  <c r="Q285" i="2" s="1"/>
  <c r="Q286" i="2"/>
  <c r="O287" i="2"/>
  <c r="N322" i="2"/>
  <c r="O322" i="2" s="1"/>
  <c r="O323" i="2"/>
  <c r="N333" i="2"/>
  <c r="O333" i="2" s="1"/>
  <c r="O334" i="2"/>
  <c r="P335" i="2"/>
  <c r="Q335" i="2" s="1"/>
  <c r="Q336" i="2"/>
  <c r="O337" i="2"/>
  <c r="Q368" i="2"/>
  <c r="Q369" i="2"/>
  <c r="O398" i="2"/>
  <c r="O410" i="2"/>
  <c r="N417" i="2"/>
  <c r="O417" i="2" s="1"/>
  <c r="O418" i="2"/>
  <c r="Q425" i="2"/>
  <c r="O445" i="2"/>
  <c r="N504" i="2"/>
  <c r="O504" i="2" s="1"/>
  <c r="O505" i="2"/>
  <c r="P528" i="2"/>
  <c r="Q528" i="2" s="1"/>
  <c r="Q529" i="2"/>
  <c r="P512" i="2"/>
  <c r="Q512" i="2" s="1"/>
  <c r="Q513" i="2"/>
  <c r="N513" i="2"/>
  <c r="O514" i="2"/>
  <c r="O518" i="2"/>
  <c r="O522" i="2"/>
  <c r="P524" i="2"/>
  <c r="Q524" i="2" s="1"/>
  <c r="Q525" i="2"/>
  <c r="N525" i="2"/>
  <c r="O526" i="2"/>
  <c r="O456" i="2"/>
  <c r="Q455" i="2"/>
  <c r="R455" i="2"/>
  <c r="P463" i="2"/>
  <c r="Q464" i="2"/>
  <c r="O462" i="2"/>
  <c r="O143" i="2"/>
  <c r="O144" i="2"/>
  <c r="O125" i="2"/>
  <c r="O122" i="2"/>
  <c r="O214" i="2"/>
  <c r="O212" i="2"/>
  <c r="P32" i="2"/>
  <c r="O37" i="1" s="1"/>
  <c r="Q374" i="2"/>
  <c r="N390" i="2"/>
  <c r="O390" i="2" s="1"/>
  <c r="O391" i="2"/>
  <c r="P23" i="2"/>
  <c r="N388" i="2"/>
  <c r="O388" i="2" s="1"/>
  <c r="O389" i="2"/>
  <c r="N533" i="2"/>
  <c r="O534" i="2"/>
  <c r="P45" i="7"/>
  <c r="K19" i="7"/>
  <c r="N21" i="6"/>
  <c r="T102" i="8"/>
  <c r="I91" i="8"/>
  <c r="K90" i="8"/>
  <c r="P18" i="8"/>
  <c r="Q18" i="8" s="1"/>
  <c r="I67" i="8"/>
  <c r="M153" i="2"/>
  <c r="P204" i="2"/>
  <c r="Q204" i="2" s="1"/>
  <c r="P276" i="2"/>
  <c r="I32" i="4"/>
  <c r="N20" i="4"/>
  <c r="I26" i="4"/>
  <c r="L38" i="4"/>
  <c r="M33" i="5"/>
  <c r="M31" i="5" s="1"/>
  <c r="M105" i="6"/>
  <c r="M103" i="6" s="1"/>
  <c r="N115" i="6"/>
  <c r="N17" i="7"/>
  <c r="J19" i="7"/>
  <c r="P19" i="7"/>
  <c r="R19" i="7" s="1"/>
  <c r="K33" i="7"/>
  <c r="L230" i="8"/>
  <c r="M33" i="7"/>
  <c r="J24" i="8"/>
  <c r="J20" i="8"/>
  <c r="M40" i="8"/>
  <c r="J67" i="8"/>
  <c r="L67" i="8"/>
  <c r="K74" i="8"/>
  <c r="K10" i="8" s="1"/>
  <c r="J86" i="8"/>
  <c r="J82" i="8" s="1"/>
  <c r="T93" i="8"/>
  <c r="N95" i="8"/>
  <c r="O95" i="8" s="1"/>
  <c r="J106" i="8"/>
  <c r="M112" i="8"/>
  <c r="M118" i="8"/>
  <c r="M123" i="8"/>
  <c r="M122" i="8" s="1"/>
  <c r="M125" i="8"/>
  <c r="I130" i="8"/>
  <c r="L134" i="8"/>
  <c r="J142" i="8"/>
  <c r="I200" i="8"/>
  <c r="N219" i="8"/>
  <c r="O219" i="8" s="1"/>
  <c r="T224" i="8"/>
  <c r="J231" i="8"/>
  <c r="J230" i="8" s="1"/>
  <c r="L236" i="8"/>
  <c r="L235" i="8" s="1"/>
  <c r="J241" i="8"/>
  <c r="N21" i="9"/>
  <c r="N20" i="9" s="1"/>
  <c r="N19" i="9" s="1"/>
  <c r="L32" i="9"/>
  <c r="I32" i="9" s="1"/>
  <c r="I51" i="9"/>
  <c r="O60" i="9"/>
  <c r="M66" i="9"/>
  <c r="M65" i="9" s="1"/>
  <c r="L14" i="10"/>
  <c r="R20" i="10"/>
  <c r="M29" i="10"/>
  <c r="M28" i="10" s="1"/>
  <c r="P134" i="8"/>
  <c r="N44" i="4"/>
  <c r="I21" i="10"/>
  <c r="I20" i="10" s="1"/>
  <c r="I19" i="10" s="1"/>
  <c r="I29" i="10"/>
  <c r="L18" i="8"/>
  <c r="K11" i="9"/>
  <c r="K66" i="9"/>
  <c r="K65" i="9" s="1"/>
  <c r="N70" i="9"/>
  <c r="M183" i="2"/>
  <c r="M469" i="2"/>
  <c r="L51" i="1" s="1"/>
  <c r="N15" i="8"/>
  <c r="O15" i="8" s="1"/>
  <c r="N68" i="8"/>
  <c r="E37" i="1"/>
  <c r="L37" i="1"/>
  <c r="M31" i="2"/>
  <c r="M12" i="2"/>
  <c r="K463" i="2"/>
  <c r="R31" i="3"/>
  <c r="I59" i="1"/>
  <c r="I74" i="1" s="1"/>
  <c r="J13" i="4"/>
  <c r="K59" i="1"/>
  <c r="L13" i="4"/>
  <c r="M59" i="1"/>
  <c r="N59" i="1" s="1"/>
  <c r="J114" i="6"/>
  <c r="N18" i="6"/>
  <c r="J21" i="7"/>
  <c r="I72" i="1"/>
  <c r="L21" i="7"/>
  <c r="K72" i="1"/>
  <c r="P21" i="7"/>
  <c r="O72" i="1"/>
  <c r="J38" i="8"/>
  <c r="I39" i="8"/>
  <c r="N39" i="8"/>
  <c r="N20" i="8" s="1"/>
  <c r="O20" i="8" s="1"/>
  <c r="J41" i="8"/>
  <c r="I42" i="8"/>
  <c r="I41" i="8" s="1"/>
  <c r="T95" i="8"/>
  <c r="N140" i="8"/>
  <c r="J138" i="8"/>
  <c r="J134" i="8" s="1"/>
  <c r="P10" i="8"/>
  <c r="Q10" i="8" s="1"/>
  <c r="M189" i="8"/>
  <c r="M188" i="8" s="1"/>
  <c r="N204" i="8"/>
  <c r="K236" i="8"/>
  <c r="K235" i="8" s="1"/>
  <c r="J70" i="1"/>
  <c r="J65" i="1" s="1"/>
  <c r="M236" i="8"/>
  <c r="M235" i="8" s="1"/>
  <c r="L70" i="1"/>
  <c r="M14" i="9"/>
  <c r="L19" i="9"/>
  <c r="R29" i="9"/>
  <c r="I33" i="9"/>
  <c r="R38" i="9"/>
  <c r="R44" i="9"/>
  <c r="P51" i="9"/>
  <c r="R51" i="9" s="1"/>
  <c r="N52" i="9"/>
  <c r="N56" i="9"/>
  <c r="O56" i="9" s="1"/>
  <c r="R15" i="10"/>
  <c r="K14" i="10"/>
  <c r="M14" i="10"/>
  <c r="N24" i="10"/>
  <c r="N23" i="10" s="1"/>
  <c r="R28" i="10"/>
  <c r="I41" i="6"/>
  <c r="J72" i="6"/>
  <c r="J69" i="6"/>
  <c r="K50" i="1"/>
  <c r="I50" i="1"/>
  <c r="N58" i="6"/>
  <c r="O58" i="6" s="1"/>
  <c r="J106" i="6"/>
  <c r="M330" i="2"/>
  <c r="K37" i="1"/>
  <c r="M467" i="2"/>
  <c r="I473" i="2"/>
  <c r="N478" i="2"/>
  <c r="N488" i="2"/>
  <c r="O488" i="2" s="1"/>
  <c r="J454" i="2"/>
  <c r="L12" i="2"/>
  <c r="J59" i="1"/>
  <c r="K13" i="4"/>
  <c r="L59" i="1"/>
  <c r="L74" i="1" s="1"/>
  <c r="M13" i="4"/>
  <c r="N95" i="6"/>
  <c r="N97" i="6"/>
  <c r="N127" i="6"/>
  <c r="P13" i="7"/>
  <c r="Q13" i="7" s="1"/>
  <c r="O56" i="1"/>
  <c r="P56" i="1" s="1"/>
  <c r="L16" i="7"/>
  <c r="K63" i="1"/>
  <c r="R20" i="7"/>
  <c r="K69" i="1"/>
  <c r="K65" i="1" s="1"/>
  <c r="K21" i="7"/>
  <c r="J72" i="1"/>
  <c r="M21" i="7"/>
  <c r="L72" i="1"/>
  <c r="I25" i="7"/>
  <c r="I24" i="7" s="1"/>
  <c r="R19" i="8"/>
  <c r="K23" i="1"/>
  <c r="J34" i="8"/>
  <c r="J18" i="8"/>
  <c r="N59" i="8"/>
  <c r="J58" i="8"/>
  <c r="J54" i="8" s="1"/>
  <c r="T71" i="8"/>
  <c r="J98" i="8"/>
  <c r="T98" i="8" s="1"/>
  <c r="T99" i="8"/>
  <c r="I118" i="8"/>
  <c r="T143" i="8"/>
  <c r="R142" i="8"/>
  <c r="R148" i="8"/>
  <c r="T149" i="8"/>
  <c r="T213" i="8"/>
  <c r="T216" i="8"/>
  <c r="I218" i="8"/>
  <c r="K55" i="1"/>
  <c r="K74" i="1" s="1"/>
  <c r="N245" i="8"/>
  <c r="T245" i="8" s="1"/>
  <c r="R13" i="9"/>
  <c r="R24" i="9"/>
  <c r="R28" i="9"/>
  <c r="I12" i="9"/>
  <c r="K62" i="9"/>
  <c r="J50" i="1"/>
  <c r="M62" i="9"/>
  <c r="L50" i="1"/>
  <c r="Q50" i="1"/>
  <c r="J74" i="1"/>
  <c r="L11" i="10"/>
  <c r="P14" i="10"/>
  <c r="J15" i="10"/>
  <c r="N15" i="10"/>
  <c r="N14" i="10" s="1"/>
  <c r="R21" i="10"/>
  <c r="N16" i="6"/>
  <c r="O16" i="6" s="1"/>
  <c r="J36" i="6"/>
  <c r="J52" i="6"/>
  <c r="N83" i="6"/>
  <c r="J76" i="6"/>
  <c r="J79" i="6"/>
  <c r="N150" i="2"/>
  <c r="N74" i="2"/>
  <c r="O74" i="2" s="1"/>
  <c r="N145" i="2"/>
  <c r="J38" i="1"/>
  <c r="O26" i="1"/>
  <c r="P19" i="3"/>
  <c r="Q19" i="3" s="1"/>
  <c r="O29" i="1"/>
  <c r="N112" i="3"/>
  <c r="Q59" i="1"/>
  <c r="O58" i="1"/>
  <c r="P58" i="1" s="1"/>
  <c r="P13" i="4"/>
  <c r="O75" i="1"/>
  <c r="P75" i="1" s="1"/>
  <c r="R56" i="4"/>
  <c r="N11" i="4"/>
  <c r="N9" i="4" s="1"/>
  <c r="N16" i="4"/>
  <c r="N26" i="4"/>
  <c r="N48" i="9"/>
  <c r="N42" i="9"/>
  <c r="N33" i="9"/>
  <c r="N35" i="9"/>
  <c r="I14" i="9"/>
  <c r="N32" i="9"/>
  <c r="N38" i="9"/>
  <c r="P23" i="9"/>
  <c r="K15" i="9"/>
  <c r="N29" i="9"/>
  <c r="T22" i="8"/>
  <c r="P24" i="8"/>
  <c r="Q24" i="8" s="1"/>
  <c r="T223" i="8"/>
  <c r="T19" i="8"/>
  <c r="J23" i="1"/>
  <c r="J33" i="1"/>
  <c r="K13" i="8"/>
  <c r="T27" i="8"/>
  <c r="J37" i="1"/>
  <c r="N138" i="8"/>
  <c r="P11" i="8"/>
  <c r="Q11" i="8" s="1"/>
  <c r="J29" i="1"/>
  <c r="I38" i="8"/>
  <c r="T20" i="8"/>
  <c r="M70" i="1"/>
  <c r="N70" i="1" s="1"/>
  <c r="T107" i="8"/>
  <c r="J22" i="4"/>
  <c r="I66" i="1"/>
  <c r="J22" i="6"/>
  <c r="M19" i="3"/>
  <c r="L29" i="1"/>
  <c r="D18" i="2"/>
  <c r="C19" i="1" s="1"/>
  <c r="N19" i="1" s="1"/>
  <c r="F18" i="2"/>
  <c r="E19" i="1" s="1"/>
  <c r="H18" i="2"/>
  <c r="G19" i="1" s="1"/>
  <c r="P18" i="2"/>
  <c r="O19" i="1" s="1"/>
  <c r="G20" i="2"/>
  <c r="G22" i="2"/>
  <c r="P22" i="2"/>
  <c r="E28" i="2"/>
  <c r="D31" i="1" s="1"/>
  <c r="F30" i="2"/>
  <c r="H30" i="2"/>
  <c r="F23" i="2"/>
  <c r="E24" i="1" s="1"/>
  <c r="H23" i="2"/>
  <c r="G24" i="1" s="1"/>
  <c r="K23" i="2"/>
  <c r="J24" i="1" s="1"/>
  <c r="M23" i="2"/>
  <c r="L24" i="1" s="1"/>
  <c r="E32" i="2"/>
  <c r="G32" i="2"/>
  <c r="J373" i="2"/>
  <c r="J372" i="2" s="1"/>
  <c r="J32" i="2"/>
  <c r="F16" i="2"/>
  <c r="E16" i="1" s="1"/>
  <c r="H16" i="2"/>
  <c r="G16" i="1" s="1"/>
  <c r="J16" i="1"/>
  <c r="M16" i="2"/>
  <c r="L16" i="1" s="1"/>
  <c r="P16" i="2"/>
  <c r="D426" i="2"/>
  <c r="D24" i="2"/>
  <c r="C26" i="1" s="1"/>
  <c r="N26" i="1" s="1"/>
  <c r="F426" i="2"/>
  <c r="F24" i="2"/>
  <c r="E26" i="1" s="1"/>
  <c r="H426" i="2"/>
  <c r="H24" i="2"/>
  <c r="G26" i="1" s="1"/>
  <c r="E432" i="2"/>
  <c r="E33" i="2"/>
  <c r="D38" i="1" s="1"/>
  <c r="G432" i="2"/>
  <c r="G33" i="2"/>
  <c r="F38" i="1" s="1"/>
  <c r="N480" i="2"/>
  <c r="O480" i="2" s="1"/>
  <c r="P12" i="2"/>
  <c r="G18" i="2"/>
  <c r="F19" i="1" s="1"/>
  <c r="M18" i="2"/>
  <c r="L19" i="1" s="1"/>
  <c r="F20" i="2"/>
  <c r="H20" i="2"/>
  <c r="F21" i="2"/>
  <c r="F28" i="2"/>
  <c r="E31" i="1" s="1"/>
  <c r="H28" i="2"/>
  <c r="G31" i="1" s="1"/>
  <c r="L28" i="2"/>
  <c r="K31" i="1" s="1"/>
  <c r="E30" i="2"/>
  <c r="P30" i="2"/>
  <c r="Q30" i="2" s="1"/>
  <c r="J18" i="2"/>
  <c r="I19" i="1" s="1"/>
  <c r="E370" i="2"/>
  <c r="D373" i="2"/>
  <c r="D372" i="2" s="1"/>
  <c r="D32" i="2"/>
  <c r="H373" i="2"/>
  <c r="H372" i="2" s="1"/>
  <c r="H32" i="2"/>
  <c r="G16" i="2"/>
  <c r="F16" i="1" s="1"/>
  <c r="E426" i="2"/>
  <c r="E24" i="2"/>
  <c r="D26" i="1" s="1"/>
  <c r="G426" i="2"/>
  <c r="G24" i="2"/>
  <c r="F26" i="1" s="1"/>
  <c r="D429" i="2"/>
  <c r="D27" i="2"/>
  <c r="C29" i="1" s="1"/>
  <c r="D432" i="2"/>
  <c r="D33" i="2"/>
  <c r="C38" i="1" s="1"/>
  <c r="F432" i="2"/>
  <c r="F33" i="2"/>
  <c r="E38" i="1" s="1"/>
  <c r="H432" i="2"/>
  <c r="H33" i="2"/>
  <c r="G38" i="1" s="1"/>
  <c r="P33" i="2"/>
  <c r="N473" i="2"/>
  <c r="O473" i="2" s="1"/>
  <c r="N475" i="2"/>
  <c r="O475" i="2" s="1"/>
  <c r="K469" i="2"/>
  <c r="N502" i="2"/>
  <c r="J479" i="2"/>
  <c r="K12" i="2"/>
  <c r="L16" i="2"/>
  <c r="K16" i="1" s="1"/>
  <c r="F17" i="2"/>
  <c r="E17" i="1" s="1"/>
  <c r="K17" i="2"/>
  <c r="J17" i="1" s="1"/>
  <c r="M17" i="2"/>
  <c r="L17" i="1" s="1"/>
  <c r="P17" i="2"/>
  <c r="O17" i="1" s="1"/>
  <c r="E19" i="2"/>
  <c r="D20" i="1" s="1"/>
  <c r="G19" i="2"/>
  <c r="F20" i="1" s="1"/>
  <c r="I19" i="2"/>
  <c r="H20" i="1" s="1"/>
  <c r="M19" i="2"/>
  <c r="L20" i="1" s="1"/>
  <c r="P19" i="2"/>
  <c r="F29" i="2"/>
  <c r="E32" i="1" s="1"/>
  <c r="K29" i="2"/>
  <c r="M29" i="2"/>
  <c r="E17" i="2"/>
  <c r="G17" i="2"/>
  <c r="F19" i="2"/>
  <c r="H19" i="2"/>
  <c r="J19" i="2"/>
  <c r="I20" i="1" s="1"/>
  <c r="L19" i="2"/>
  <c r="K20" i="1" s="1"/>
  <c r="N19" i="2"/>
  <c r="O19" i="2" s="1"/>
  <c r="E29" i="2"/>
  <c r="G29" i="2"/>
  <c r="G26" i="2" s="1"/>
  <c r="J29" i="2"/>
  <c r="L29" i="2"/>
  <c r="K32" i="1" s="1"/>
  <c r="P29" i="2"/>
  <c r="I29" i="2"/>
  <c r="N529" i="2"/>
  <c r="G471" i="2"/>
  <c r="G470" i="2" s="1"/>
  <c r="G32" i="1"/>
  <c r="I517" i="2"/>
  <c r="I516" i="2" s="1"/>
  <c r="J33" i="2"/>
  <c r="L33" i="2"/>
  <c r="K38" i="1" s="1"/>
  <c r="K21" i="1"/>
  <c r="J34" i="1"/>
  <c r="K30" i="2"/>
  <c r="I394" i="2"/>
  <c r="J422" i="2"/>
  <c r="K20" i="2"/>
  <c r="N463" i="2"/>
  <c r="O463" i="2" s="1"/>
  <c r="E34" i="1"/>
  <c r="M22" i="2"/>
  <c r="L47" i="2"/>
  <c r="P471" i="2"/>
  <c r="K471" i="2"/>
  <c r="K470" i="2" s="1"/>
  <c r="D451" i="2"/>
  <c r="D450" i="2" s="1"/>
  <c r="F422" i="2"/>
  <c r="F421" i="2" s="1"/>
  <c r="H422" i="2"/>
  <c r="D422" i="2"/>
  <c r="I48" i="2"/>
  <c r="G373" i="2"/>
  <c r="G372" i="2" s="1"/>
  <c r="D32" i="1"/>
  <c r="F32" i="1"/>
  <c r="O32" i="1"/>
  <c r="G34" i="1"/>
  <c r="L34" i="1"/>
  <c r="K22" i="2"/>
  <c r="M30" i="2"/>
  <c r="N41" i="2"/>
  <c r="M422" i="2"/>
  <c r="M421" i="2" s="1"/>
  <c r="E422" i="2"/>
  <c r="G422" i="2"/>
  <c r="I423" i="2"/>
  <c r="K422" i="2"/>
  <c r="J429" i="2"/>
  <c r="J428" i="2" s="1"/>
  <c r="P429" i="2"/>
  <c r="E373" i="2"/>
  <c r="E372" i="2" s="1"/>
  <c r="D34" i="1"/>
  <c r="F34" i="1"/>
  <c r="J30" i="2"/>
  <c r="L30" i="2"/>
  <c r="N374" i="2"/>
  <c r="I424" i="2"/>
  <c r="N409" i="2"/>
  <c r="O409" i="2" s="1"/>
  <c r="M435" i="2"/>
  <c r="I429" i="2"/>
  <c r="M452" i="2"/>
  <c r="I46" i="2"/>
  <c r="I30" i="2" s="1"/>
  <c r="M471" i="2"/>
  <c r="M470" i="2" s="1"/>
  <c r="U467" i="2" s="1"/>
  <c r="N200" i="2"/>
  <c r="O200" i="2" s="1"/>
  <c r="J45" i="2"/>
  <c r="I34" i="1"/>
  <c r="K34" i="1"/>
  <c r="O34" i="1"/>
  <c r="F373" i="2"/>
  <c r="F372" i="2" s="1"/>
  <c r="K373" i="2"/>
  <c r="K372" i="2" s="1"/>
  <c r="M373" i="2"/>
  <c r="M372" i="2" s="1"/>
  <c r="P373" i="2"/>
  <c r="L24" i="2"/>
  <c r="K26" i="1" s="1"/>
  <c r="J32" i="1"/>
  <c r="L32" i="1"/>
  <c r="I41" i="2"/>
  <c r="K394" i="2"/>
  <c r="F429" i="2"/>
  <c r="F428" i="2" s="1"/>
  <c r="E429" i="2"/>
  <c r="G429" i="2"/>
  <c r="K429" i="2"/>
  <c r="M429" i="2"/>
  <c r="M428" i="2" s="1"/>
  <c r="N431" i="2"/>
  <c r="O431" i="2" s="1"/>
  <c r="I433" i="2"/>
  <c r="I432" i="2" s="1"/>
  <c r="K435" i="2"/>
  <c r="H471" i="2"/>
  <c r="H470" i="2" s="1"/>
  <c r="E471" i="2"/>
  <c r="E470" i="2" s="1"/>
  <c r="L496" i="2"/>
  <c r="L469" i="2" s="1"/>
  <c r="E451" i="2"/>
  <c r="J451" i="2"/>
  <c r="E453" i="2"/>
  <c r="E23" i="2" s="1"/>
  <c r="D471" i="2"/>
  <c r="D470" i="2" s="1"/>
  <c r="F471" i="2"/>
  <c r="F470" i="2" s="1"/>
  <c r="L429" i="2"/>
  <c r="K426" i="2"/>
  <c r="H429" i="2"/>
  <c r="M95" i="2"/>
  <c r="M127" i="2"/>
  <c r="E421" i="2"/>
  <c r="G421" i="2"/>
  <c r="I443" i="2"/>
  <c r="N446" i="2"/>
  <c r="M267" i="2"/>
  <c r="N286" i="2"/>
  <c r="O286" i="2" s="1"/>
  <c r="I285" i="2"/>
  <c r="J471" i="2"/>
  <c r="J470" i="2" s="1"/>
  <c r="E428" i="2"/>
  <c r="J492" i="2"/>
  <c r="M103" i="2"/>
  <c r="N107" i="2"/>
  <c r="M111" i="2"/>
  <c r="N123" i="2"/>
  <c r="O123" i="2" s="1"/>
  <c r="I123" i="2"/>
  <c r="P210" i="2"/>
  <c r="Q210" i="2" s="1"/>
  <c r="N222" i="2"/>
  <c r="J312" i="2"/>
  <c r="L312" i="2"/>
  <c r="N313" i="2"/>
  <c r="O313" i="2" s="1"/>
  <c r="M367" i="2"/>
  <c r="I374" i="2"/>
  <c r="I32" i="2" s="1"/>
  <c r="J385" i="2"/>
  <c r="L394" i="2"/>
  <c r="N397" i="2"/>
  <c r="O397" i="2" s="1"/>
  <c r="D421" i="2"/>
  <c r="H421" i="2"/>
  <c r="N430" i="2"/>
  <c r="O430" i="2" s="1"/>
  <c r="L471" i="2"/>
  <c r="M294" i="2"/>
  <c r="M231" i="2"/>
  <c r="L237" i="2"/>
  <c r="N270" i="2"/>
  <c r="O270" i="2" s="1"/>
  <c r="P272" i="2"/>
  <c r="Q272" i="2" s="1"/>
  <c r="K312" i="2"/>
  <c r="K168" i="2"/>
  <c r="M312" i="2"/>
  <c r="M339" i="2"/>
  <c r="M198" i="2"/>
  <c r="N211" i="2"/>
  <c r="O211" i="2" s="1"/>
  <c r="N213" i="2"/>
  <c r="O213" i="2" s="1"/>
  <c r="N355" i="2"/>
  <c r="O355" i="2" s="1"/>
  <c r="M354" i="2"/>
  <c r="N77" i="2"/>
  <c r="N137" i="2"/>
  <c r="O137" i="2" s="1"/>
  <c r="I137" i="2"/>
  <c r="J168" i="2"/>
  <c r="L168" i="2"/>
  <c r="J174" i="2"/>
  <c r="L174" i="2"/>
  <c r="P174" i="2"/>
  <c r="J199" i="2"/>
  <c r="N217" i="2"/>
  <c r="O217" i="2" s="1"/>
  <c r="N255" i="2"/>
  <c r="O255" i="2" s="1"/>
  <c r="N315" i="2"/>
  <c r="N327" i="2"/>
  <c r="N326" i="2" s="1"/>
  <c r="N336" i="2"/>
  <c r="M348" i="2"/>
  <c r="P88" i="2"/>
  <c r="Q88" i="2" s="1"/>
  <c r="N189" i="2"/>
  <c r="N232" i="2"/>
  <c r="O232" i="2" s="1"/>
  <c r="N291" i="2"/>
  <c r="N290" i="2" s="1"/>
  <c r="N309" i="2"/>
  <c r="N308" i="2" s="1"/>
  <c r="I361" i="2"/>
  <c r="G36" i="2"/>
  <c r="F40" i="2"/>
  <c r="J22" i="2"/>
  <c r="L22" i="2"/>
  <c r="L21" i="2" s="1"/>
  <c r="N169" i="2"/>
  <c r="O169" i="2" s="1"/>
  <c r="L204" i="2"/>
  <c r="N234" i="2"/>
  <c r="O234" i="2" s="1"/>
  <c r="N238" i="2"/>
  <c r="J267" i="2"/>
  <c r="L267" i="2"/>
  <c r="N318" i="2"/>
  <c r="N317" i="2" s="1"/>
  <c r="N325" i="2"/>
  <c r="K42" i="2"/>
  <c r="I364" i="2"/>
  <c r="G370" i="2"/>
  <c r="I390" i="2"/>
  <c r="L73" i="2"/>
  <c r="I91" i="2"/>
  <c r="J111" i="2"/>
  <c r="L111" i="2"/>
  <c r="I131" i="2"/>
  <c r="L147" i="2"/>
  <c r="I174" i="2"/>
  <c r="I243" i="2"/>
  <c r="L258" i="2"/>
  <c r="P258" i="2"/>
  <c r="Q258" i="2" s="1"/>
  <c r="I264" i="2"/>
  <c r="R270" i="2"/>
  <c r="M285" i="2"/>
  <c r="J294" i="2"/>
  <c r="L348" i="2"/>
  <c r="N353" i="2"/>
  <c r="O353" i="2" s="1"/>
  <c r="J42" i="2"/>
  <c r="E367" i="2"/>
  <c r="G367" i="2"/>
  <c r="I440" i="2"/>
  <c r="R423" i="2"/>
  <c r="J435" i="2"/>
  <c r="I360" i="2"/>
  <c r="R361" i="2"/>
  <c r="L435" i="2"/>
  <c r="I242" i="2"/>
  <c r="R360" i="2"/>
  <c r="J367" i="2"/>
  <c r="K403" i="2"/>
  <c r="L367" i="2"/>
  <c r="K367" i="2"/>
  <c r="P370" i="2"/>
  <c r="L299" i="2"/>
  <c r="L294" i="2"/>
  <c r="I294" i="2"/>
  <c r="I276" i="2"/>
  <c r="I267" i="2"/>
  <c r="I258" i="2"/>
  <c r="M252" i="2"/>
  <c r="N247" i="2"/>
  <c r="I247" i="2"/>
  <c r="P237" i="2"/>
  <c r="Q237" i="2" s="1"/>
  <c r="M237" i="2"/>
  <c r="I237" i="2"/>
  <c r="I231" i="2"/>
  <c r="I221" i="2"/>
  <c r="M216" i="2"/>
  <c r="N210" i="2"/>
  <c r="O210" i="2" s="1"/>
  <c r="P141" i="2"/>
  <c r="Q141" i="2" s="1"/>
  <c r="I120" i="2"/>
  <c r="I119" i="2" s="1"/>
  <c r="L95" i="2"/>
  <c r="K36" i="2"/>
  <c r="M26" i="2"/>
  <c r="L58" i="2"/>
  <c r="K44" i="2"/>
  <c r="K43" i="2" s="1"/>
  <c r="I61" i="2"/>
  <c r="I55" i="2"/>
  <c r="G44" i="2"/>
  <c r="G43" i="2" s="1"/>
  <c r="M51" i="2"/>
  <c r="N54" i="2"/>
  <c r="O54" i="2" s="1"/>
  <c r="J52" i="2"/>
  <c r="J51" i="2" s="1"/>
  <c r="F36" i="2"/>
  <c r="H36" i="2"/>
  <c r="M36" i="2"/>
  <c r="M35" i="2" s="1"/>
  <c r="H40" i="2"/>
  <c r="L40" i="2"/>
  <c r="E44" i="2"/>
  <c r="E43" i="2" s="1"/>
  <c r="M44" i="2"/>
  <c r="M43" i="2" s="1"/>
  <c r="L65" i="2"/>
  <c r="P45" i="2"/>
  <c r="F47" i="2"/>
  <c r="H47" i="2"/>
  <c r="N48" i="2"/>
  <c r="O48" i="2" s="1"/>
  <c r="M58" i="2"/>
  <c r="M81" i="2"/>
  <c r="N99" i="2"/>
  <c r="O99" i="2" s="1"/>
  <c r="P112" i="2"/>
  <c r="Q112" i="2" s="1"/>
  <c r="M119" i="2"/>
  <c r="N120" i="2"/>
  <c r="O120" i="2" s="1"/>
  <c r="M134" i="2"/>
  <c r="M192" i="2"/>
  <c r="L210" i="2"/>
  <c r="J246" i="2"/>
  <c r="I246" i="2"/>
  <c r="M258" i="2"/>
  <c r="L276" i="2"/>
  <c r="L303" i="2"/>
  <c r="N55" i="2"/>
  <c r="O55" i="2" s="1"/>
  <c r="L335" i="2"/>
  <c r="I428" i="2"/>
  <c r="R430" i="2"/>
  <c r="J497" i="2"/>
  <c r="J496" i="2" s="1"/>
  <c r="M449" i="2"/>
  <c r="P403" i="2"/>
  <c r="Q403" i="2" s="1"/>
  <c r="K452" i="2"/>
  <c r="K449" i="2" s="1"/>
  <c r="N282" i="2"/>
  <c r="O282" i="2" s="1"/>
  <c r="M142" i="2"/>
  <c r="M174" i="2"/>
  <c r="L285" i="2"/>
  <c r="R315" i="2"/>
  <c r="F370" i="2"/>
  <c r="F367" i="2" s="1"/>
  <c r="H370" i="2"/>
  <c r="H367" i="2" s="1"/>
  <c r="N400" i="2"/>
  <c r="R532" i="2"/>
  <c r="D45" i="2"/>
  <c r="P104" i="2"/>
  <c r="R177" i="2"/>
  <c r="N300" i="2"/>
  <c r="O300" i="2" s="1"/>
  <c r="R533" i="2"/>
  <c r="E450" i="2"/>
  <c r="L450" i="2"/>
  <c r="P450" i="2"/>
  <c r="E452" i="2"/>
  <c r="I200" i="2"/>
  <c r="I199" i="2" s="1"/>
  <c r="I198" i="2" s="1"/>
  <c r="N259" i="2"/>
  <c r="O259" i="2" s="1"/>
  <c r="K317" i="2"/>
  <c r="I323" i="2"/>
  <c r="I322" i="2" s="1"/>
  <c r="K324" i="2"/>
  <c r="K321" i="2" s="1"/>
  <c r="K354" i="2"/>
  <c r="L88" i="2"/>
  <c r="L103" i="2"/>
  <c r="I118" i="2"/>
  <c r="I116" i="2" s="1"/>
  <c r="R120" i="2"/>
  <c r="J127" i="2"/>
  <c r="L127" i="2"/>
  <c r="R150" i="2"/>
  <c r="R188" i="2"/>
  <c r="D479" i="2"/>
  <c r="L36" i="2"/>
  <c r="R59" i="2"/>
  <c r="I84" i="2"/>
  <c r="I82" i="2" s="1"/>
  <c r="P96" i="2"/>
  <c r="Q96" i="2" s="1"/>
  <c r="N97" i="2"/>
  <c r="O97" i="2" s="1"/>
  <c r="N105" i="2"/>
  <c r="O105" i="2" s="1"/>
  <c r="I112" i="2"/>
  <c r="L119" i="2"/>
  <c r="I129" i="2"/>
  <c r="I128" i="2" s="1"/>
  <c r="I127" i="2" s="1"/>
  <c r="R135" i="2"/>
  <c r="I134" i="2"/>
  <c r="N147" i="2"/>
  <c r="R158" i="2"/>
  <c r="R159" i="2"/>
  <c r="I168" i="2"/>
  <c r="R171" i="2"/>
  <c r="N177" i="2"/>
  <c r="O177" i="2" s="1"/>
  <c r="R180" i="2"/>
  <c r="R229" i="2"/>
  <c r="R253" i="2"/>
  <c r="N288" i="2"/>
  <c r="R308" i="2"/>
  <c r="R406" i="2"/>
  <c r="R424" i="2"/>
  <c r="R433" i="2"/>
  <c r="R440" i="2"/>
  <c r="I442" i="2"/>
  <c r="I502" i="2"/>
  <c r="I479" i="2" s="1"/>
  <c r="R521" i="2"/>
  <c r="G452" i="2"/>
  <c r="G449" i="2" s="1"/>
  <c r="R199" i="2"/>
  <c r="R272" i="2"/>
  <c r="R273" i="2"/>
  <c r="R291" i="2"/>
  <c r="R327" i="2"/>
  <c r="I354" i="2"/>
  <c r="R357" i="2"/>
  <c r="L385" i="2"/>
  <c r="R395" i="2"/>
  <c r="R409" i="2"/>
  <c r="R443" i="2"/>
  <c r="R501" i="2"/>
  <c r="R528" i="2"/>
  <c r="R529" i="2"/>
  <c r="R517" i="2"/>
  <c r="P520" i="2"/>
  <c r="R520" i="2" s="1"/>
  <c r="R525" i="2"/>
  <c r="I483" i="2"/>
  <c r="R483" i="2"/>
  <c r="R472" i="2"/>
  <c r="D62" i="1"/>
  <c r="P168" i="3"/>
  <c r="M186" i="3"/>
  <c r="D71" i="1"/>
  <c r="N172" i="3"/>
  <c r="N168" i="3" s="1"/>
  <c r="I186" i="3"/>
  <c r="J15" i="3"/>
  <c r="J13" i="3" s="1"/>
  <c r="J12" i="3" s="1"/>
  <c r="J19" i="3"/>
  <c r="M114" i="3"/>
  <c r="J139" i="3"/>
  <c r="L156" i="3"/>
  <c r="M180" i="3"/>
  <c r="L186" i="3"/>
  <c r="K156" i="3"/>
  <c r="K120" i="3"/>
  <c r="L108" i="3"/>
  <c r="K162" i="3"/>
  <c r="J174" i="3"/>
  <c r="L174" i="3"/>
  <c r="P174" i="3"/>
  <c r="L73" i="3"/>
  <c r="K126" i="3"/>
  <c r="P156" i="3"/>
  <c r="P108" i="3"/>
  <c r="I123" i="3"/>
  <c r="I121" i="3" s="1"/>
  <c r="M162" i="3"/>
  <c r="P96" i="3"/>
  <c r="K102" i="3"/>
  <c r="I164" i="3"/>
  <c r="I163" i="3" s="1"/>
  <c r="P73" i="3"/>
  <c r="R73" i="3" s="1"/>
  <c r="M144" i="3"/>
  <c r="M11" i="3" s="1"/>
  <c r="L144" i="3"/>
  <c r="L11" i="3" s="1"/>
  <c r="L150" i="3"/>
  <c r="J163" i="3"/>
  <c r="I67" i="3"/>
  <c r="L96" i="3"/>
  <c r="R96" i="3" s="1"/>
  <c r="K108" i="3"/>
  <c r="M108" i="3"/>
  <c r="J133" i="3"/>
  <c r="L132" i="3"/>
  <c r="M138" i="3"/>
  <c r="P13" i="3"/>
  <c r="Q13" i="3" s="1"/>
  <c r="K144" i="3"/>
  <c r="K11" i="3" s="1"/>
  <c r="L90" i="3"/>
  <c r="R90" i="3" s="1"/>
  <c r="L18" i="3"/>
  <c r="K87" i="1" s="1"/>
  <c r="L49" i="3"/>
  <c r="R49" i="3" s="1"/>
  <c r="L13" i="3"/>
  <c r="L12" i="3" s="1"/>
  <c r="I52" i="3"/>
  <c r="I50" i="3" s="1"/>
  <c r="I110" i="3"/>
  <c r="I128" i="3"/>
  <c r="I127" i="3" s="1"/>
  <c r="P132" i="3"/>
  <c r="L79" i="3"/>
  <c r="I140" i="3"/>
  <c r="I139" i="3" s="1"/>
  <c r="M156" i="3"/>
  <c r="J160" i="3"/>
  <c r="N160" i="3" s="1"/>
  <c r="J136" i="3"/>
  <c r="I161" i="3"/>
  <c r="I160" i="3" s="1"/>
  <c r="M61" i="3"/>
  <c r="M68" i="3"/>
  <c r="M67" i="3" s="1"/>
  <c r="K85" i="3"/>
  <c r="M85" i="3"/>
  <c r="L85" i="3"/>
  <c r="R85" i="3" s="1"/>
  <c r="K96" i="3"/>
  <c r="M96" i="3"/>
  <c r="R105" i="3"/>
  <c r="R169" i="3"/>
  <c r="R50" i="3"/>
  <c r="R65" i="3"/>
  <c r="R70" i="3"/>
  <c r="R112" i="3"/>
  <c r="I137" i="3"/>
  <c r="I136" i="3" s="1"/>
  <c r="N177" i="3"/>
  <c r="M13" i="3"/>
  <c r="M12" i="3" s="1"/>
  <c r="R39" i="3"/>
  <c r="R46" i="3"/>
  <c r="K13" i="3"/>
  <c r="K12" i="3" s="1"/>
  <c r="R14" i="3"/>
  <c r="P16" i="3"/>
  <c r="R17" i="3"/>
  <c r="R19" i="3"/>
  <c r="P21" i="3"/>
  <c r="R22" i="3"/>
  <c r="R58" i="3"/>
  <c r="R62" i="3"/>
  <c r="R77" i="3"/>
  <c r="R80" i="3"/>
  <c r="R88" i="3"/>
  <c r="R148" i="3"/>
  <c r="R15" i="3"/>
  <c r="R20" i="3"/>
  <c r="K18" i="3"/>
  <c r="M18" i="3"/>
  <c r="N35" i="3"/>
  <c r="N34" i="3" s="1"/>
  <c r="R53" i="3"/>
  <c r="R56" i="3"/>
  <c r="K61" i="3"/>
  <c r="N65" i="3"/>
  <c r="P67" i="3"/>
  <c r="R67" i="3" s="1"/>
  <c r="R68" i="3"/>
  <c r="J74" i="3"/>
  <c r="N74" i="3" s="1"/>
  <c r="R74" i="3"/>
  <c r="I76" i="3"/>
  <c r="R82" i="3"/>
  <c r="R86" i="3"/>
  <c r="R91" i="3"/>
  <c r="R93" i="3"/>
  <c r="P144" i="3"/>
  <c r="P11" i="3" s="1"/>
  <c r="R11" i="3" s="1"/>
  <c r="R145" i="3"/>
  <c r="N147" i="3"/>
  <c r="I147" i="3"/>
  <c r="R151" i="3"/>
  <c r="R153" i="3"/>
  <c r="R100" i="3"/>
  <c r="M102" i="3"/>
  <c r="J105" i="3"/>
  <c r="L102" i="3"/>
  <c r="I106" i="3"/>
  <c r="I105" i="3" s="1"/>
  <c r="R109" i="3"/>
  <c r="J109" i="3"/>
  <c r="J112" i="3"/>
  <c r="I113" i="3"/>
  <c r="I112" i="3" s="1"/>
  <c r="R115" i="3"/>
  <c r="R117" i="3"/>
  <c r="R41" i="3"/>
  <c r="R44" i="3"/>
  <c r="J121" i="3"/>
  <c r="J120" i="3" s="1"/>
  <c r="R121" i="3"/>
  <c r="R124" i="3"/>
  <c r="J127" i="3"/>
  <c r="J126" i="3" s="1"/>
  <c r="M126" i="3"/>
  <c r="R129" i="3"/>
  <c r="R136" i="3"/>
  <c r="R139" i="3"/>
  <c r="K138" i="3"/>
  <c r="R160" i="3"/>
  <c r="N163" i="3"/>
  <c r="R163" i="3"/>
  <c r="R165" i="3"/>
  <c r="R172" i="3"/>
  <c r="R175" i="3"/>
  <c r="R181" i="3"/>
  <c r="I181" i="3"/>
  <c r="I180" i="3" s="1"/>
  <c r="R184" i="3"/>
  <c r="R189" i="3"/>
  <c r="R97" i="3"/>
  <c r="R103" i="3"/>
  <c r="K114" i="3"/>
  <c r="R127" i="3"/>
  <c r="R133" i="3"/>
  <c r="R141" i="3"/>
  <c r="R157" i="3"/>
  <c r="R177" i="3"/>
  <c r="R187" i="3"/>
  <c r="R34" i="3"/>
  <c r="R35" i="3"/>
  <c r="R44" i="4"/>
  <c r="R45" i="4"/>
  <c r="R17" i="4"/>
  <c r="R24" i="4"/>
  <c r="R34" i="4"/>
  <c r="R57" i="4"/>
  <c r="R18" i="4"/>
  <c r="P22" i="4"/>
  <c r="R23" i="4"/>
  <c r="R48" i="4"/>
  <c r="R49" i="4"/>
  <c r="R39" i="4"/>
  <c r="R35" i="4"/>
  <c r="R26" i="4"/>
  <c r="R32" i="4"/>
  <c r="R20" i="4"/>
  <c r="R16" i="4"/>
  <c r="R15" i="4"/>
  <c r="L22" i="4"/>
  <c r="N24" i="4"/>
  <c r="M57" i="4"/>
  <c r="M56" i="4" s="1"/>
  <c r="I57" i="4"/>
  <c r="I23" i="4"/>
  <c r="N18" i="4"/>
  <c r="M23" i="4"/>
  <c r="L66" i="1" s="1"/>
  <c r="N25" i="4"/>
  <c r="N57" i="4"/>
  <c r="N56" i="4" s="1"/>
  <c r="I25" i="4"/>
  <c r="K28" i="4"/>
  <c r="M28" i="4"/>
  <c r="K12" i="4"/>
  <c r="M12" i="4"/>
  <c r="L21" i="4"/>
  <c r="L28" i="4"/>
  <c r="I41" i="4"/>
  <c r="K21" i="4"/>
  <c r="R49" i="5"/>
  <c r="R53" i="5"/>
  <c r="K49" i="5"/>
  <c r="K48" i="5" s="1"/>
  <c r="K33" i="5" s="1"/>
  <c r="K31" i="5" s="1"/>
  <c r="L48" i="5"/>
  <c r="L33" i="5" s="1"/>
  <c r="L31" i="5" s="1"/>
  <c r="P48" i="5"/>
  <c r="N53" i="5"/>
  <c r="O53" i="5" s="1"/>
  <c r="R11" i="5"/>
  <c r="R12" i="5"/>
  <c r="R17" i="5"/>
  <c r="L10" i="5"/>
  <c r="I111" i="6"/>
  <c r="J12" i="6"/>
  <c r="I52" i="6"/>
  <c r="J19" i="6"/>
  <c r="I95" i="6"/>
  <c r="I23" i="6"/>
  <c r="I22" i="6" s="1"/>
  <c r="N23" i="6"/>
  <c r="O23" i="6" s="1"/>
  <c r="N15" i="6"/>
  <c r="O15" i="6" s="1"/>
  <c r="I21" i="6"/>
  <c r="L22" i="6"/>
  <c r="R23" i="6"/>
  <c r="M99" i="6"/>
  <c r="M94" i="6"/>
  <c r="M12" i="6" s="1"/>
  <c r="R83" i="6"/>
  <c r="R88" i="6"/>
  <c r="N88" i="6"/>
  <c r="D64" i="1"/>
  <c r="K25" i="6"/>
  <c r="K30" i="6"/>
  <c r="I47" i="6"/>
  <c r="N52" i="6"/>
  <c r="O52" i="6" s="1"/>
  <c r="N47" i="6"/>
  <c r="L53" i="1"/>
  <c r="K62" i="1"/>
  <c r="K71" i="1"/>
  <c r="R26" i="6"/>
  <c r="R28" i="6"/>
  <c r="R31" i="6"/>
  <c r="R33" i="6"/>
  <c r="R15" i="6"/>
  <c r="R21" i="6"/>
  <c r="R100" i="6"/>
  <c r="J53" i="1"/>
  <c r="E71" i="1"/>
  <c r="E64" i="1" s="1"/>
  <c r="R18" i="6"/>
  <c r="R20" i="6"/>
  <c r="R111" i="6"/>
  <c r="R114" i="6"/>
  <c r="R115" i="6"/>
  <c r="R119" i="6"/>
  <c r="R123" i="6"/>
  <c r="R95" i="6"/>
  <c r="R97" i="6"/>
  <c r="P126" i="6"/>
  <c r="R126" i="6" s="1"/>
  <c r="R127" i="6"/>
  <c r="F53" i="1"/>
  <c r="M25" i="6"/>
  <c r="M30" i="6"/>
  <c r="I36" i="6"/>
  <c r="R36" i="6"/>
  <c r="R41" i="6"/>
  <c r="E53" i="1"/>
  <c r="G53" i="1"/>
  <c r="I97" i="6"/>
  <c r="I94" i="6" s="1"/>
  <c r="R17" i="6"/>
  <c r="N100" i="6"/>
  <c r="K13" i="6"/>
  <c r="I27" i="6"/>
  <c r="I16" i="6" s="1"/>
  <c r="O53" i="1"/>
  <c r="K53" i="1"/>
  <c r="E62" i="1"/>
  <c r="J62" i="1"/>
  <c r="J71" i="1"/>
  <c r="J64" i="1" s="1"/>
  <c r="I71" i="1"/>
  <c r="N41" i="6"/>
  <c r="O41" i="6" s="1"/>
  <c r="N37" i="6"/>
  <c r="L13" i="6"/>
  <c r="F22" i="1"/>
  <c r="M13" i="6"/>
  <c r="L118" i="6"/>
  <c r="I31" i="6"/>
  <c r="J31" i="6"/>
  <c r="L110" i="6"/>
  <c r="J18" i="7"/>
  <c r="I82" i="7"/>
  <c r="R46" i="7"/>
  <c r="R48" i="7"/>
  <c r="R30" i="7"/>
  <c r="L33" i="7"/>
  <c r="L39" i="7"/>
  <c r="R51" i="7"/>
  <c r="R53" i="7"/>
  <c r="R64" i="7"/>
  <c r="R68" i="7"/>
  <c r="R74" i="7"/>
  <c r="R76" i="7"/>
  <c r="L24" i="7"/>
  <c r="R25" i="7"/>
  <c r="N22" i="7"/>
  <c r="N21" i="7" s="1"/>
  <c r="R61" i="7"/>
  <c r="R71" i="7"/>
  <c r="R80" i="7"/>
  <c r="R83" i="7"/>
  <c r="R86" i="7"/>
  <c r="R88" i="7"/>
  <c r="R21" i="7"/>
  <c r="R22" i="7"/>
  <c r="R40" i="7"/>
  <c r="R39" i="7"/>
  <c r="L18" i="7"/>
  <c r="R42" i="7"/>
  <c r="K18" i="7"/>
  <c r="R17" i="7"/>
  <c r="R37" i="7"/>
  <c r="P33" i="7"/>
  <c r="R33" i="7" s="1"/>
  <c r="R15" i="7"/>
  <c r="L13" i="7"/>
  <c r="R14" i="7"/>
  <c r="R13" i="7"/>
  <c r="J13" i="7"/>
  <c r="M17" i="7"/>
  <c r="L63" i="1" s="1"/>
  <c r="M20" i="7"/>
  <c r="L69" i="1" s="1"/>
  <c r="K50" i="7"/>
  <c r="P50" i="7"/>
  <c r="K67" i="7"/>
  <c r="M67" i="7"/>
  <c r="N71" i="7"/>
  <c r="M88" i="7"/>
  <c r="I39" i="7"/>
  <c r="I47" i="7"/>
  <c r="M40" i="7"/>
  <c r="M39" i="7" s="1"/>
  <c r="N53" i="7"/>
  <c r="N61" i="7"/>
  <c r="K13" i="7"/>
  <c r="K12" i="7" s="1"/>
  <c r="M13" i="7"/>
  <c r="K24" i="7"/>
  <c r="L50" i="7"/>
  <c r="J79" i="7"/>
  <c r="L79" i="7"/>
  <c r="R79" i="7" s="1"/>
  <c r="R237" i="8"/>
  <c r="R238" i="8"/>
  <c r="T233" i="8"/>
  <c r="R214" i="8"/>
  <c r="I204" i="8"/>
  <c r="I203" i="8" s="1"/>
  <c r="N131" i="8"/>
  <c r="R125" i="8"/>
  <c r="R109" i="8"/>
  <c r="Q36" i="1"/>
  <c r="R18" i="8"/>
  <c r="Q25" i="1"/>
  <c r="J13" i="8"/>
  <c r="L13" i="8"/>
  <c r="T17" i="8"/>
  <c r="I112" i="8"/>
  <c r="I111" i="8" s="1"/>
  <c r="I27" i="8"/>
  <c r="H32" i="1" s="1"/>
  <c r="L11" i="8"/>
  <c r="R114" i="8"/>
  <c r="R118" i="8"/>
  <c r="T122" i="8"/>
  <c r="N252" i="8"/>
  <c r="N251" i="8" s="1"/>
  <c r="I37" i="8"/>
  <c r="I35" i="8" s="1"/>
  <c r="I34" i="8" s="1"/>
  <c r="R90" i="8"/>
  <c r="R91" i="8"/>
  <c r="R95" i="8"/>
  <c r="R99" i="8"/>
  <c r="L111" i="8"/>
  <c r="M114" i="8"/>
  <c r="M111" i="8" s="1"/>
  <c r="I133" i="8"/>
  <c r="I131" i="8" s="1"/>
  <c r="N211" i="8"/>
  <c r="N214" i="8"/>
  <c r="J229" i="8"/>
  <c r="J227" i="8" s="1"/>
  <c r="L229" i="8"/>
  <c r="L227" i="8" s="1"/>
  <c r="P251" i="8"/>
  <c r="L24" i="8"/>
  <c r="J40" i="8"/>
  <c r="L40" i="8"/>
  <c r="K11" i="8"/>
  <c r="M34" i="8"/>
  <c r="Q30" i="1"/>
  <c r="Q32" i="1"/>
  <c r="Q33" i="1"/>
  <c r="R16" i="2"/>
  <c r="R29" i="2"/>
  <c r="R52" i="2"/>
  <c r="L51" i="2"/>
  <c r="R61" i="2"/>
  <c r="R69" i="2"/>
  <c r="N72" i="2"/>
  <c r="O72" i="2" s="1"/>
  <c r="I72" i="2"/>
  <c r="I70" i="2" s="1"/>
  <c r="J70" i="2"/>
  <c r="N205" i="2"/>
  <c r="O205" i="2" s="1"/>
  <c r="N342" i="2"/>
  <c r="O342" i="2" s="1"/>
  <c r="I32" i="1"/>
  <c r="Q34" i="1"/>
  <c r="Q61" i="1"/>
  <c r="I62" i="1"/>
  <c r="R17" i="2"/>
  <c r="R18" i="2"/>
  <c r="K24" i="2"/>
  <c r="J26" i="1" s="1"/>
  <c r="M24" i="2"/>
  <c r="L26" i="1" s="1"/>
  <c r="K26" i="2"/>
  <c r="K25" i="2" s="1"/>
  <c r="R27" i="2"/>
  <c r="E39" i="2"/>
  <c r="E20" i="2" s="1"/>
  <c r="J39" i="2"/>
  <c r="P39" i="2"/>
  <c r="E40" i="2"/>
  <c r="G40" i="2"/>
  <c r="G35" i="2" s="1"/>
  <c r="D41" i="2"/>
  <c r="D22" i="2" s="1"/>
  <c r="F44" i="2"/>
  <c r="H44" i="2"/>
  <c r="H43" i="2" s="1"/>
  <c r="J44" i="2"/>
  <c r="J43" i="2" s="1"/>
  <c r="L44" i="2"/>
  <c r="L43" i="2" s="1"/>
  <c r="D46" i="2"/>
  <c r="D30" i="2" s="1"/>
  <c r="N46" i="2"/>
  <c r="R48" i="2"/>
  <c r="I54" i="2"/>
  <c r="I52" i="2" s="1"/>
  <c r="I51" i="2" s="1"/>
  <c r="P58" i="2"/>
  <c r="Q58" i="2" s="1"/>
  <c r="N59" i="2"/>
  <c r="O59" i="2" s="1"/>
  <c r="N61" i="2"/>
  <c r="O61" i="2" s="1"/>
  <c r="P66" i="2"/>
  <c r="Q66" i="2" s="1"/>
  <c r="M73" i="2"/>
  <c r="N96" i="2"/>
  <c r="O96" i="2" s="1"/>
  <c r="I111" i="2"/>
  <c r="N156" i="2"/>
  <c r="O156" i="2" s="1"/>
  <c r="N324" i="2"/>
  <c r="N69" i="2"/>
  <c r="O69" i="2" s="1"/>
  <c r="P73" i="2"/>
  <c r="Q73" i="2" s="1"/>
  <c r="I74" i="2"/>
  <c r="I77" i="2"/>
  <c r="L81" i="2"/>
  <c r="M88" i="2"/>
  <c r="I88" i="2"/>
  <c r="P95" i="2"/>
  <c r="Q95" i="2" s="1"/>
  <c r="J96" i="2"/>
  <c r="I97" i="2"/>
  <c r="I96" i="2" s="1"/>
  <c r="I104" i="2"/>
  <c r="I107" i="2"/>
  <c r="P111" i="2"/>
  <c r="Q111" i="2" s="1"/>
  <c r="N115" i="2"/>
  <c r="O115" i="2" s="1"/>
  <c r="P128" i="2"/>
  <c r="Q128" i="2" s="1"/>
  <c r="N130" i="2"/>
  <c r="N135" i="2"/>
  <c r="O135" i="2" s="1"/>
  <c r="L134" i="2"/>
  <c r="R142" i="2"/>
  <c r="R147" i="2"/>
  <c r="I147" i="2"/>
  <c r="M147" i="2"/>
  <c r="R154" i="2"/>
  <c r="R163" i="2"/>
  <c r="R174" i="2"/>
  <c r="R184" i="2"/>
  <c r="L192" i="2"/>
  <c r="R196" i="2"/>
  <c r="L198" i="2"/>
  <c r="R208" i="2"/>
  <c r="L216" i="2"/>
  <c r="R221" i="2"/>
  <c r="R237" i="2"/>
  <c r="R250" i="2"/>
  <c r="P252" i="2"/>
  <c r="Q252" i="2" s="1"/>
  <c r="N253" i="2"/>
  <c r="L252" i="2"/>
  <c r="J258" i="2"/>
  <c r="N261" i="2"/>
  <c r="O261" i="2" s="1"/>
  <c r="R264" i="2"/>
  <c r="P267" i="2"/>
  <c r="Q267" i="2" s="1"/>
  <c r="R277" i="2"/>
  <c r="R279" i="2"/>
  <c r="R282" i="2"/>
  <c r="J285" i="2"/>
  <c r="N285" i="2"/>
  <c r="O285" i="2" s="1"/>
  <c r="K290" i="2"/>
  <c r="P290" i="2"/>
  <c r="R290" i="2" s="1"/>
  <c r="P294" i="2"/>
  <c r="Q294" i="2" s="1"/>
  <c r="R300" i="2"/>
  <c r="R304" i="2"/>
  <c r="R306" i="2"/>
  <c r="R309" i="2"/>
  <c r="R313" i="2"/>
  <c r="R317" i="2"/>
  <c r="R318" i="2"/>
  <c r="R324" i="2"/>
  <c r="I325" i="2"/>
  <c r="I324" i="2" s="1"/>
  <c r="I321" i="2" s="1"/>
  <c r="K326" i="2"/>
  <c r="P326" i="2"/>
  <c r="R326" i="2" s="1"/>
  <c r="R331" i="2"/>
  <c r="R335" i="2"/>
  <c r="R336" i="2"/>
  <c r="J342" i="2"/>
  <c r="L339" i="2"/>
  <c r="I343" i="2"/>
  <c r="I342" i="2" s="1"/>
  <c r="P344" i="2"/>
  <c r="Q344" i="2" s="1"/>
  <c r="P348" i="2"/>
  <c r="R352" i="2"/>
  <c r="R355" i="2"/>
  <c r="K385" i="2"/>
  <c r="R390" i="2"/>
  <c r="R404" i="2"/>
  <c r="R429" i="2"/>
  <c r="G428" i="2"/>
  <c r="K428" i="2"/>
  <c r="R442" i="2"/>
  <c r="R474" i="2"/>
  <c r="N56" i="3"/>
  <c r="N117" i="3"/>
  <c r="R91" i="2"/>
  <c r="R112" i="2"/>
  <c r="R116" i="2"/>
  <c r="R131" i="2"/>
  <c r="M145" i="2"/>
  <c r="M141" i="2" s="1"/>
  <c r="J156" i="2"/>
  <c r="L153" i="2"/>
  <c r="I157" i="2"/>
  <c r="I156" i="2" s="1"/>
  <c r="N159" i="2"/>
  <c r="L162" i="2"/>
  <c r="R166" i="2"/>
  <c r="R169" i="2"/>
  <c r="R175" i="2"/>
  <c r="I179" i="2"/>
  <c r="P179" i="2"/>
  <c r="N180" i="2"/>
  <c r="L183" i="2"/>
  <c r="R186" i="2"/>
  <c r="R189" i="2"/>
  <c r="R193" i="2"/>
  <c r="I195" i="2"/>
  <c r="I38" i="2" s="1"/>
  <c r="I18" i="2" s="1"/>
  <c r="H19" i="1" s="1"/>
  <c r="N195" i="2"/>
  <c r="O195" i="2" s="1"/>
  <c r="I206" i="2"/>
  <c r="I205" i="2" s="1"/>
  <c r="M204" i="2"/>
  <c r="R211" i="2"/>
  <c r="M210" i="2"/>
  <c r="R213" i="2"/>
  <c r="I217" i="2"/>
  <c r="R217" i="2"/>
  <c r="R222" i="2"/>
  <c r="R226" i="2"/>
  <c r="I230" i="2"/>
  <c r="I229" i="2" s="1"/>
  <c r="N230" i="2"/>
  <c r="O230" i="2" s="1"/>
  <c r="R234" i="2"/>
  <c r="R238" i="2"/>
  <c r="R243" i="2"/>
  <c r="R263" i="2"/>
  <c r="R268" i="2"/>
  <c r="R276" i="2"/>
  <c r="R295" i="2"/>
  <c r="R297" i="2"/>
  <c r="R299" i="2"/>
  <c r="L330" i="2"/>
  <c r="R340" i="2"/>
  <c r="R345" i="2"/>
  <c r="R349" i="2"/>
  <c r="R386" i="2"/>
  <c r="R391" i="2"/>
  <c r="R427" i="2"/>
  <c r="R436" i="2"/>
  <c r="I436" i="2"/>
  <c r="R471" i="2"/>
  <c r="R473" i="2"/>
  <c r="R475" i="2"/>
  <c r="N493" i="2"/>
  <c r="I505" i="2"/>
  <c r="I504" i="2"/>
  <c r="N461" i="2"/>
  <c r="O461" i="2" s="1"/>
  <c r="N80" i="3"/>
  <c r="N100" i="3"/>
  <c r="R516" i="2"/>
  <c r="R450" i="2"/>
  <c r="F452" i="2"/>
  <c r="F449" i="2" s="1"/>
  <c r="H452" i="2"/>
  <c r="H449" i="2" s="1"/>
  <c r="J452" i="2"/>
  <c r="L452" i="2"/>
  <c r="L449" i="2" s="1"/>
  <c r="P452" i="2"/>
  <c r="I454" i="2"/>
  <c r="K454" i="2"/>
  <c r="P454" i="2"/>
  <c r="Q454" i="2" s="1"/>
  <c r="D455" i="2"/>
  <c r="D454" i="2" s="1"/>
  <c r="O454" i="2" s="1"/>
  <c r="J461" i="2"/>
  <c r="I462" i="2"/>
  <c r="I453" i="2" s="1"/>
  <c r="K55" i="3"/>
  <c r="M55" i="3"/>
  <c r="J61" i="3"/>
  <c r="L61" i="3"/>
  <c r="K79" i="3"/>
  <c r="M79" i="3"/>
  <c r="L120" i="3"/>
  <c r="L126" i="3"/>
  <c r="L162" i="3"/>
  <c r="I166" i="3"/>
  <c r="I165" i="3" s="1"/>
  <c r="I162" i="3" s="1"/>
  <c r="L180" i="3"/>
  <c r="R480" i="2"/>
  <c r="P482" i="2"/>
  <c r="Q482" i="2" s="1"/>
  <c r="I494" i="2"/>
  <c r="I492" i="2" s="1"/>
  <c r="R496" i="2"/>
  <c r="I498" i="2"/>
  <c r="N498" i="2"/>
  <c r="I499" i="2"/>
  <c r="I474" i="2" s="1"/>
  <c r="H58" i="1" s="1"/>
  <c r="N499" i="2"/>
  <c r="O499" i="2" s="1"/>
  <c r="P500" i="2"/>
  <c r="R500" i="2" s="1"/>
  <c r="N521" i="2"/>
  <c r="R524" i="2"/>
  <c r="R464" i="2"/>
  <c r="K49" i="3"/>
  <c r="M49" i="3"/>
  <c r="J56" i="3"/>
  <c r="I57" i="3"/>
  <c r="I56" i="3" s="1"/>
  <c r="K73" i="3"/>
  <c r="M73" i="3"/>
  <c r="P79" i="3"/>
  <c r="J80" i="3"/>
  <c r="I81" i="3"/>
  <c r="I80" i="3" s="1"/>
  <c r="I89" i="3"/>
  <c r="I88" i="3" s="1"/>
  <c r="J148" i="3"/>
  <c r="I149" i="3"/>
  <c r="I148" i="3" s="1"/>
  <c r="N149" i="3"/>
  <c r="P150" i="3"/>
  <c r="K150" i="3"/>
  <c r="M150" i="3"/>
  <c r="I98" i="3"/>
  <c r="J100" i="3"/>
  <c r="I101" i="3"/>
  <c r="I100" i="3" s="1"/>
  <c r="J117" i="3"/>
  <c r="L114" i="3"/>
  <c r="I118" i="3"/>
  <c r="I117" i="3" s="1"/>
  <c r="L38" i="3"/>
  <c r="R38" i="3" s="1"/>
  <c r="K41" i="3"/>
  <c r="K38" i="3" s="1"/>
  <c r="N42" i="3"/>
  <c r="O42" i="3" s="1"/>
  <c r="K44" i="3"/>
  <c r="K43" i="3" s="1"/>
  <c r="N45" i="3"/>
  <c r="O45" i="3" s="1"/>
  <c r="I47" i="3"/>
  <c r="I46" i="3" s="1"/>
  <c r="I43" i="3" s="1"/>
  <c r="N47" i="3"/>
  <c r="O47" i="3" s="1"/>
  <c r="I125" i="3"/>
  <c r="I124" i="3" s="1"/>
  <c r="I130" i="3"/>
  <c r="I129" i="3" s="1"/>
  <c r="I134" i="3"/>
  <c r="K132" i="3"/>
  <c r="M132" i="3"/>
  <c r="L138" i="3"/>
  <c r="I159" i="3"/>
  <c r="I157" i="3" s="1"/>
  <c r="I156" i="3" s="1"/>
  <c r="I169" i="3"/>
  <c r="I168" i="3" s="1"/>
  <c r="M168" i="3"/>
  <c r="I174" i="3"/>
  <c r="M174" i="3"/>
  <c r="I49" i="4"/>
  <c r="I17" i="4"/>
  <c r="L12" i="4"/>
  <c r="L25" i="6"/>
  <c r="L30" i="6"/>
  <c r="L12" i="7"/>
  <c r="N14" i="7"/>
  <c r="I69" i="7"/>
  <c r="M18" i="8"/>
  <c r="M12" i="8" s="1"/>
  <c r="R22" i="8"/>
  <c r="R24" i="8"/>
  <c r="N25" i="8"/>
  <c r="M29" i="1" s="1"/>
  <c r="M28" i="1" s="1"/>
  <c r="R48" i="8"/>
  <c r="R49" i="8"/>
  <c r="N189" i="3"/>
  <c r="J21" i="4"/>
  <c r="P25" i="4"/>
  <c r="R25" i="4" s="1"/>
  <c r="I31" i="4"/>
  <c r="I35" i="4"/>
  <c r="P38" i="4"/>
  <c r="R38" i="4" s="1"/>
  <c r="N42" i="4"/>
  <c r="M49" i="4"/>
  <c r="M48" i="4" s="1"/>
  <c r="N48" i="5"/>
  <c r="O48" i="5" s="1"/>
  <c r="I50" i="5"/>
  <c r="P14" i="6"/>
  <c r="Q14" i="6" s="1"/>
  <c r="I115" i="6"/>
  <c r="P122" i="6"/>
  <c r="N126" i="6"/>
  <c r="O126" i="6" s="1"/>
  <c r="D53" i="1"/>
  <c r="D52" i="1" s="1"/>
  <c r="I29" i="6"/>
  <c r="I18" i="6" s="1"/>
  <c r="I17" i="6" s="1"/>
  <c r="I36" i="7"/>
  <c r="I15" i="7" s="1"/>
  <c r="N37" i="7"/>
  <c r="N39" i="7"/>
  <c r="N40" i="7"/>
  <c r="N42" i="7"/>
  <c r="J45" i="7"/>
  <c r="L45" i="7"/>
  <c r="J50" i="7"/>
  <c r="I52" i="7"/>
  <c r="I51" i="7" s="1"/>
  <c r="M51" i="7"/>
  <c r="I54" i="7"/>
  <c r="I53" i="7" s="1"/>
  <c r="M53" i="7"/>
  <c r="J60" i="7"/>
  <c r="P60" i="7"/>
  <c r="R60" i="7" s="1"/>
  <c r="P67" i="7"/>
  <c r="R67" i="7" s="1"/>
  <c r="I73" i="7"/>
  <c r="M73" i="7"/>
  <c r="N76" i="7"/>
  <c r="N73" i="7" s="1"/>
  <c r="R17" i="8"/>
  <c r="K18" i="8"/>
  <c r="K12" i="8" s="1"/>
  <c r="K24" i="8"/>
  <c r="M24" i="8"/>
  <c r="M23" i="8" s="1"/>
  <c r="K29" i="8"/>
  <c r="R30" i="8"/>
  <c r="P29" i="8"/>
  <c r="Q29" i="8" s="1"/>
  <c r="L29" i="8"/>
  <c r="L23" i="8" s="1"/>
  <c r="R32" i="8"/>
  <c r="R35" i="8"/>
  <c r="R44" i="8"/>
  <c r="P40" i="8"/>
  <c r="Q40" i="8" s="1"/>
  <c r="N45" i="8"/>
  <c r="O45" i="8" s="1"/>
  <c r="I45" i="8"/>
  <c r="I44" i="8" s="1"/>
  <c r="I40" i="8" s="1"/>
  <c r="J30" i="8"/>
  <c r="I53" i="8"/>
  <c r="I52" i="8" s="1"/>
  <c r="I48" i="8" s="1"/>
  <c r="I56" i="8"/>
  <c r="R58" i="8"/>
  <c r="R62" i="8"/>
  <c r="R65" i="8"/>
  <c r="R68" i="8"/>
  <c r="R86" i="8"/>
  <c r="I95" i="8"/>
  <c r="I90" i="8" s="1"/>
  <c r="I99" i="8"/>
  <c r="I68" i="7"/>
  <c r="I67" i="7" s="1"/>
  <c r="R14" i="8"/>
  <c r="T15" i="8"/>
  <c r="R15" i="8"/>
  <c r="R27" i="8"/>
  <c r="R28" i="8"/>
  <c r="R38" i="8"/>
  <c r="R41" i="8"/>
  <c r="R52" i="8"/>
  <c r="R54" i="8"/>
  <c r="R55" i="8"/>
  <c r="R71" i="8"/>
  <c r="R79" i="8"/>
  <c r="T81" i="8"/>
  <c r="M83" i="8"/>
  <c r="M82" i="8" s="1"/>
  <c r="N88" i="8"/>
  <c r="N91" i="8"/>
  <c r="R98" i="8"/>
  <c r="R102" i="8"/>
  <c r="I102" i="8"/>
  <c r="T112" i="8"/>
  <c r="N118" i="8"/>
  <c r="T120" i="8"/>
  <c r="R123" i="8"/>
  <c r="T125" i="8"/>
  <c r="R129" i="8"/>
  <c r="T131" i="8"/>
  <c r="R131" i="8"/>
  <c r="T133" i="8"/>
  <c r="R138" i="8"/>
  <c r="I140" i="8"/>
  <c r="T142" i="8"/>
  <c r="T148" i="8"/>
  <c r="R196" i="8"/>
  <c r="M195" i="8"/>
  <c r="R203" i="8"/>
  <c r="R204" i="8"/>
  <c r="R207" i="8"/>
  <c r="R218" i="8"/>
  <c r="R219" i="8"/>
  <c r="T221" i="8"/>
  <c r="R223" i="8"/>
  <c r="R224" i="8"/>
  <c r="R240" i="8"/>
  <c r="R241" i="8"/>
  <c r="R244" i="8"/>
  <c r="R248" i="8"/>
  <c r="P15" i="9"/>
  <c r="R17" i="9"/>
  <c r="N37" i="9"/>
  <c r="R128" i="8"/>
  <c r="T138" i="8"/>
  <c r="T140" i="8"/>
  <c r="R143" i="8"/>
  <c r="R149" i="8"/>
  <c r="R189" i="8"/>
  <c r="R192" i="8"/>
  <c r="T193" i="8"/>
  <c r="P195" i="8"/>
  <c r="R199" i="8"/>
  <c r="I201" i="8"/>
  <c r="I199" i="8" s="1"/>
  <c r="N201" i="8"/>
  <c r="R210" i="8"/>
  <c r="R230" i="8"/>
  <c r="R231" i="8"/>
  <c r="R234" i="8"/>
  <c r="P236" i="8"/>
  <c r="Q236" i="8" s="1"/>
  <c r="T237" i="8"/>
  <c r="P243" i="8"/>
  <c r="P247" i="8"/>
  <c r="I14" i="10"/>
  <c r="N17" i="9"/>
  <c r="R19" i="9"/>
  <c r="R20" i="9"/>
  <c r="R21" i="9"/>
  <c r="R33" i="9"/>
  <c r="R35" i="9"/>
  <c r="I37" i="9"/>
  <c r="P37" i="9"/>
  <c r="R37" i="9" s="1"/>
  <c r="J41" i="9"/>
  <c r="L41" i="9"/>
  <c r="L12" i="9" s="1"/>
  <c r="L11" i="9" s="1"/>
  <c r="I44" i="9"/>
  <c r="N49" i="9"/>
  <c r="I52" i="9"/>
  <c r="N55" i="9"/>
  <c r="R55" i="9"/>
  <c r="N69" i="9"/>
  <c r="R23" i="10"/>
  <c r="R12" i="10" s="1"/>
  <c r="R11" i="10" s="1"/>
  <c r="R23" i="9"/>
  <c r="R26" i="9"/>
  <c r="R32" i="9"/>
  <c r="R42" i="9"/>
  <c r="R48" i="9"/>
  <c r="I11" i="9"/>
  <c r="I59" i="9"/>
  <c r="I67" i="9"/>
  <c r="I66" i="9" s="1"/>
  <c r="I65" i="9" s="1"/>
  <c r="R17" i="10"/>
  <c r="R19" i="10"/>
  <c r="R26" i="10"/>
  <c r="D39" i="2"/>
  <c r="D20" i="2" s="1"/>
  <c r="I142" i="2"/>
  <c r="I141" i="2" s="1"/>
  <c r="I158" i="2"/>
  <c r="N166" i="2"/>
  <c r="N186" i="2"/>
  <c r="O186" i="2" s="1"/>
  <c r="N226" i="2"/>
  <c r="N299" i="2"/>
  <c r="O299" i="2" s="1"/>
  <c r="I335" i="2"/>
  <c r="I58" i="2"/>
  <c r="N66" i="2"/>
  <c r="O66" i="2" s="1"/>
  <c r="N39" i="2"/>
  <c r="O39" i="2" s="1"/>
  <c r="I103" i="2"/>
  <c r="D37" i="2"/>
  <c r="D16" i="2" s="1"/>
  <c r="N196" i="2"/>
  <c r="O196" i="2" s="1"/>
  <c r="I210" i="2"/>
  <c r="I252" i="2"/>
  <c r="N352" i="2"/>
  <c r="O352" i="2" s="1"/>
  <c r="Q18" i="1"/>
  <c r="Q66" i="1"/>
  <c r="Q70" i="1"/>
  <c r="R23" i="2"/>
  <c r="R30" i="2"/>
  <c r="R32" i="2"/>
  <c r="R33" i="2"/>
  <c r="R55" i="2"/>
  <c r="R72" i="2"/>
  <c r="R73" i="2"/>
  <c r="R74" i="2"/>
  <c r="R77" i="2"/>
  <c r="R84" i="2"/>
  <c r="R85" i="2"/>
  <c r="R88" i="2"/>
  <c r="R89" i="2"/>
  <c r="R95" i="2"/>
  <c r="R96" i="2"/>
  <c r="R97" i="2"/>
  <c r="R99" i="2"/>
  <c r="R100" i="2"/>
  <c r="R104" i="2"/>
  <c r="R105" i="2"/>
  <c r="R107" i="2"/>
  <c r="R123" i="2"/>
  <c r="R137" i="2"/>
  <c r="R145" i="2"/>
  <c r="R156" i="2"/>
  <c r="R201" i="2"/>
  <c r="R204" i="2"/>
  <c r="R205" i="2"/>
  <c r="R210" i="2"/>
  <c r="R219" i="2"/>
  <c r="R240" i="2"/>
  <c r="R246" i="2"/>
  <c r="R247" i="2"/>
  <c r="R255" i="2"/>
  <c r="R258" i="2"/>
  <c r="R259" i="2"/>
  <c r="R261" i="2"/>
  <c r="R285" i="2"/>
  <c r="R286" i="2"/>
  <c r="R322" i="2"/>
  <c r="R333" i="2"/>
  <c r="R342" i="2"/>
  <c r="D371" i="2"/>
  <c r="D23" i="2" s="1"/>
  <c r="C24" i="1" s="1"/>
  <c r="N24" i="1" s="1"/>
  <c r="D452" i="2"/>
  <c r="D449" i="2" s="1"/>
  <c r="N145" i="3"/>
  <c r="N14" i="3"/>
  <c r="N153" i="3"/>
  <c r="Q54" i="1"/>
  <c r="R37" i="2"/>
  <c r="R38" i="2"/>
  <c r="P40" i="2"/>
  <c r="Q40" i="2" s="1"/>
  <c r="R41" i="2"/>
  <c r="R42" i="2"/>
  <c r="R45" i="2"/>
  <c r="R46" i="2"/>
  <c r="P47" i="2"/>
  <c r="Q47" i="2" s="1"/>
  <c r="R49" i="2"/>
  <c r="P51" i="2"/>
  <c r="Q51" i="2" s="1"/>
  <c r="N52" i="2"/>
  <c r="O52" i="2" s="1"/>
  <c r="J66" i="2"/>
  <c r="I69" i="2"/>
  <c r="N70" i="2"/>
  <c r="O70" i="2" s="1"/>
  <c r="P70" i="2"/>
  <c r="J81" i="2"/>
  <c r="N82" i="2"/>
  <c r="O82" i="2" s="1"/>
  <c r="P82" i="2"/>
  <c r="Q82" i="2" s="1"/>
  <c r="I87" i="2"/>
  <c r="I85" i="2" s="1"/>
  <c r="I81" i="2" s="1"/>
  <c r="N87" i="2"/>
  <c r="O87" i="2" s="1"/>
  <c r="N91" i="2"/>
  <c r="O91" i="2" s="1"/>
  <c r="I102" i="2"/>
  <c r="I100" i="2" s="1"/>
  <c r="I95" i="2" s="1"/>
  <c r="N102" i="2"/>
  <c r="O102" i="2" s="1"/>
  <c r="N112" i="2"/>
  <c r="O112" i="2" s="1"/>
  <c r="N116" i="2"/>
  <c r="O116" i="2" s="1"/>
  <c r="N119" i="2"/>
  <c r="O119" i="2" s="1"/>
  <c r="P119" i="2"/>
  <c r="Q119" i="2" s="1"/>
  <c r="N128" i="2"/>
  <c r="O128" i="2" s="1"/>
  <c r="N131" i="2"/>
  <c r="O131" i="2" s="1"/>
  <c r="N134" i="2"/>
  <c r="O134" i="2" s="1"/>
  <c r="P134" i="2"/>
  <c r="Q134" i="2" s="1"/>
  <c r="N142" i="2"/>
  <c r="P153" i="2"/>
  <c r="Q153" i="2" s="1"/>
  <c r="J154" i="2"/>
  <c r="I155" i="2"/>
  <c r="N155" i="2"/>
  <c r="P162" i="2"/>
  <c r="Q162" i="2" s="1"/>
  <c r="J163" i="2"/>
  <c r="I164" i="2"/>
  <c r="I163" i="2" s="1"/>
  <c r="N164" i="2"/>
  <c r="O164" i="2" s="1"/>
  <c r="I167" i="2"/>
  <c r="P168" i="2"/>
  <c r="R168" i="2" s="1"/>
  <c r="N171" i="2"/>
  <c r="O171" i="2" s="1"/>
  <c r="N175" i="2"/>
  <c r="O175" i="2" s="1"/>
  <c r="P183" i="2"/>
  <c r="J184" i="2"/>
  <c r="I185" i="2"/>
  <c r="I184" i="2" s="1"/>
  <c r="N185" i="2"/>
  <c r="O185" i="2" s="1"/>
  <c r="I187" i="2"/>
  <c r="I186" i="2" s="1"/>
  <c r="P192" i="2"/>
  <c r="Q192" i="2" s="1"/>
  <c r="J193" i="2"/>
  <c r="I194" i="2"/>
  <c r="I193" i="2" s="1"/>
  <c r="N194" i="2"/>
  <c r="O194" i="2" s="1"/>
  <c r="I197" i="2"/>
  <c r="I196" i="2" s="1"/>
  <c r="J198" i="2"/>
  <c r="P198" i="2"/>
  <c r="N199" i="2"/>
  <c r="O199" i="2" s="1"/>
  <c r="J208" i="2"/>
  <c r="I209" i="2"/>
  <c r="I208" i="2" s="1"/>
  <c r="I204" i="2" s="1"/>
  <c r="N209" i="2"/>
  <c r="O209" i="2" s="1"/>
  <c r="J216" i="2"/>
  <c r="N216" i="2"/>
  <c r="O216" i="2" s="1"/>
  <c r="P216" i="2"/>
  <c r="Q216" i="2" s="1"/>
  <c r="P225" i="2"/>
  <c r="Q225" i="2" s="1"/>
  <c r="I227" i="2"/>
  <c r="I226" i="2" s="1"/>
  <c r="N229" i="2"/>
  <c r="O229" i="2" s="1"/>
  <c r="N231" i="2"/>
  <c r="O231" i="2" s="1"/>
  <c r="P231" i="2"/>
  <c r="P242" i="2"/>
  <c r="Q242" i="2" s="1"/>
  <c r="N250" i="2"/>
  <c r="O250" i="2" s="1"/>
  <c r="N268" i="2"/>
  <c r="O268" i="2" s="1"/>
  <c r="N273" i="2"/>
  <c r="O273" i="2" s="1"/>
  <c r="N277" i="2"/>
  <c r="O277" i="2" s="1"/>
  <c r="N279" i="2"/>
  <c r="O279" i="2" s="1"/>
  <c r="N281" i="2"/>
  <c r="O281" i="2" s="1"/>
  <c r="P281" i="2"/>
  <c r="N295" i="2"/>
  <c r="O295" i="2" s="1"/>
  <c r="N297" i="2"/>
  <c r="O297" i="2" s="1"/>
  <c r="P303" i="2"/>
  <c r="Q303" i="2" s="1"/>
  <c r="N304" i="2"/>
  <c r="O304" i="2" s="1"/>
  <c r="N312" i="2"/>
  <c r="O312" i="2" s="1"/>
  <c r="P312" i="2"/>
  <c r="N321" i="2"/>
  <c r="O321" i="2" s="1"/>
  <c r="P321" i="2"/>
  <c r="Q321" i="2" s="1"/>
  <c r="P330" i="2"/>
  <c r="J331" i="2"/>
  <c r="I332" i="2"/>
  <c r="I331" i="2" s="1"/>
  <c r="I330" i="2" s="1"/>
  <c r="N332" i="2"/>
  <c r="P339" i="2"/>
  <c r="J340" i="2"/>
  <c r="I341" i="2"/>
  <c r="I340" i="2" s="1"/>
  <c r="I339" i="2" s="1"/>
  <c r="N341" i="2"/>
  <c r="O341" i="2" s="1"/>
  <c r="I346" i="2"/>
  <c r="I49" i="2" s="1"/>
  <c r="N346" i="2"/>
  <c r="J349" i="2"/>
  <c r="I350" i="2"/>
  <c r="I349" i="2" s="1"/>
  <c r="N350" i="2"/>
  <c r="I353" i="2"/>
  <c r="I352" i="2" s="1"/>
  <c r="P354" i="2"/>
  <c r="R354" i="2" s="1"/>
  <c r="N357" i="2"/>
  <c r="O357" i="2" s="1"/>
  <c r="R368" i="2"/>
  <c r="R369" i="2"/>
  <c r="R370" i="2"/>
  <c r="N406" i="2"/>
  <c r="O406" i="2" s="1"/>
  <c r="N371" i="2"/>
  <c r="O371" i="2" s="1"/>
  <c r="J421" i="2"/>
  <c r="D428" i="2"/>
  <c r="H428" i="2"/>
  <c r="L428" i="2"/>
  <c r="I62" i="3"/>
  <c r="N151" i="3"/>
  <c r="N133" i="3"/>
  <c r="R371" i="2"/>
  <c r="R373" i="2"/>
  <c r="R374" i="2"/>
  <c r="R388" i="2"/>
  <c r="R397" i="2"/>
  <c r="R400" i="2"/>
  <c r="R403" i="2"/>
  <c r="R477" i="2"/>
  <c r="R478" i="2"/>
  <c r="R479" i="2"/>
  <c r="R487" i="2"/>
  <c r="R488" i="2"/>
  <c r="R492" i="2"/>
  <c r="R493" i="2"/>
  <c r="R504" i="2"/>
  <c r="R505" i="2"/>
  <c r="R508" i="2"/>
  <c r="R509" i="2"/>
  <c r="R512" i="2"/>
  <c r="R513" i="2"/>
  <c r="R458" i="2"/>
  <c r="R459" i="2"/>
  <c r="R461" i="2"/>
  <c r="N88" i="3"/>
  <c r="N40" i="3"/>
  <c r="O40" i="3" s="1"/>
  <c r="N41" i="3"/>
  <c r="O41" i="3" s="1"/>
  <c r="N125" i="3"/>
  <c r="N130" i="3"/>
  <c r="N159" i="3"/>
  <c r="N165" i="3"/>
  <c r="N174" i="3"/>
  <c r="N175" i="3"/>
  <c r="N49" i="4"/>
  <c r="I110" i="6"/>
  <c r="I80" i="7"/>
  <c r="P385" i="2"/>
  <c r="I387" i="2"/>
  <c r="I386" i="2" s="1"/>
  <c r="I385" i="2" s="1"/>
  <c r="N387" i="2"/>
  <c r="O387" i="2" s="1"/>
  <c r="P394" i="2"/>
  <c r="Q394" i="2" s="1"/>
  <c r="N395" i="2"/>
  <c r="O395" i="2" s="1"/>
  <c r="N399" i="2"/>
  <c r="O399" i="2" s="1"/>
  <c r="P399" i="2"/>
  <c r="Q399" i="2" s="1"/>
  <c r="J404" i="2"/>
  <c r="I405" i="2"/>
  <c r="N405" i="2"/>
  <c r="J406" i="2"/>
  <c r="I407" i="2"/>
  <c r="N408" i="2"/>
  <c r="O408" i="2" s="1"/>
  <c r="P408" i="2"/>
  <c r="J412" i="2"/>
  <c r="L422" i="2"/>
  <c r="L421" i="2" s="1"/>
  <c r="N422" i="2"/>
  <c r="O422" i="2" s="1"/>
  <c r="P422" i="2"/>
  <c r="Q422" i="2" s="1"/>
  <c r="R425" i="2"/>
  <c r="N426" i="2"/>
  <c r="O426" i="2" s="1"/>
  <c r="P426" i="2"/>
  <c r="R431" i="2"/>
  <c r="N432" i="2"/>
  <c r="O432" i="2" s="1"/>
  <c r="P432" i="2"/>
  <c r="P435" i="2"/>
  <c r="Q435" i="2" s="1"/>
  <c r="N443" i="2"/>
  <c r="O443" i="2" s="1"/>
  <c r="N483" i="2"/>
  <c r="O483" i="2" s="1"/>
  <c r="I487" i="2"/>
  <c r="I488" i="2"/>
  <c r="N497" i="2"/>
  <c r="O497" i="2" s="1"/>
  <c r="N501" i="2"/>
  <c r="N517" i="2"/>
  <c r="O517" i="2" s="1"/>
  <c r="R451" i="2"/>
  <c r="N453" i="2"/>
  <c r="R453" i="2"/>
  <c r="R456" i="2"/>
  <c r="I459" i="2"/>
  <c r="I460" i="2"/>
  <c r="I451" i="2" s="1"/>
  <c r="N460" i="2"/>
  <c r="O460" i="2" s="1"/>
  <c r="I461" i="2"/>
  <c r="R463" i="2"/>
  <c r="J18" i="3"/>
  <c r="J53" i="3"/>
  <c r="I54" i="3"/>
  <c r="N54" i="3"/>
  <c r="J58" i="3"/>
  <c r="I59" i="3"/>
  <c r="I58" i="3" s="1"/>
  <c r="I55" i="3" s="1"/>
  <c r="N59" i="3"/>
  <c r="P61" i="3"/>
  <c r="N68" i="3"/>
  <c r="J77" i="3"/>
  <c r="I78" i="3"/>
  <c r="I77" i="3" s="1"/>
  <c r="N78" i="3"/>
  <c r="J82" i="3"/>
  <c r="I83" i="3"/>
  <c r="I82" i="3" s="1"/>
  <c r="N83" i="3"/>
  <c r="J86" i="3"/>
  <c r="I87" i="3"/>
  <c r="N87" i="3"/>
  <c r="J91" i="3"/>
  <c r="I92" i="3"/>
  <c r="N92" i="3"/>
  <c r="J145" i="3"/>
  <c r="I146" i="3"/>
  <c r="J151" i="3"/>
  <c r="I152" i="3"/>
  <c r="I151" i="3" s="1"/>
  <c r="J153" i="3"/>
  <c r="I153" i="3"/>
  <c r="I99" i="3"/>
  <c r="N99" i="3"/>
  <c r="P102" i="3"/>
  <c r="J103" i="3"/>
  <c r="I104" i="3"/>
  <c r="I103" i="3" s="1"/>
  <c r="I102" i="3" s="1"/>
  <c r="N104" i="3"/>
  <c r="I111" i="3"/>
  <c r="N111" i="3"/>
  <c r="P114" i="3"/>
  <c r="J115" i="3"/>
  <c r="I116" i="3"/>
  <c r="I115" i="3" s="1"/>
  <c r="I114" i="3" s="1"/>
  <c r="N116" i="3"/>
  <c r="J38" i="3"/>
  <c r="N39" i="3"/>
  <c r="O39" i="3" s="1"/>
  <c r="I40" i="3"/>
  <c r="I39" i="3" s="1"/>
  <c r="I38" i="3" s="1"/>
  <c r="P43" i="3"/>
  <c r="N46" i="3"/>
  <c r="O46" i="3" s="1"/>
  <c r="P120" i="3"/>
  <c r="N123" i="3"/>
  <c r="P126" i="3"/>
  <c r="R126" i="3" s="1"/>
  <c r="N128" i="3"/>
  <c r="I135" i="3"/>
  <c r="I133" i="3" s="1"/>
  <c r="N136" i="3"/>
  <c r="J138" i="3"/>
  <c r="P138" i="3"/>
  <c r="N139" i="3"/>
  <c r="I142" i="3"/>
  <c r="I141" i="3" s="1"/>
  <c r="N142" i="3"/>
  <c r="J157" i="3"/>
  <c r="P162" i="3"/>
  <c r="R162" i="3" s="1"/>
  <c r="N164" i="3"/>
  <c r="J180" i="3"/>
  <c r="N180" i="3"/>
  <c r="P180" i="3"/>
  <c r="P186" i="3"/>
  <c r="N187" i="3"/>
  <c r="W17" i="4"/>
  <c r="J19" i="4"/>
  <c r="N19" i="4"/>
  <c r="P19" i="4"/>
  <c r="R19" i="4" s="1"/>
  <c r="P28" i="4"/>
  <c r="J29" i="4"/>
  <c r="I30" i="4"/>
  <c r="N30" i="4"/>
  <c r="J39" i="4"/>
  <c r="I40" i="4"/>
  <c r="I39" i="4" s="1"/>
  <c r="I38" i="4" s="1"/>
  <c r="N40" i="4"/>
  <c r="I54" i="4"/>
  <c r="J48" i="4"/>
  <c r="I56" i="4"/>
  <c r="I33" i="6"/>
  <c r="I48" i="7"/>
  <c r="I17" i="7"/>
  <c r="H63" i="1" s="1"/>
  <c r="I83" i="7"/>
  <c r="I86" i="7"/>
  <c r="I85" i="7" s="1"/>
  <c r="I20" i="7"/>
  <c r="N25" i="7"/>
  <c r="N36" i="7"/>
  <c r="N45" i="7"/>
  <c r="N46" i="7"/>
  <c r="N48" i="7"/>
  <c r="N50" i="7"/>
  <c r="N51" i="7"/>
  <c r="N56" i="7"/>
  <c r="O56" i="7" s="1"/>
  <c r="N57" i="7"/>
  <c r="O57" i="7" s="1"/>
  <c r="N68" i="7"/>
  <c r="N79" i="7"/>
  <c r="N83" i="7"/>
  <c r="N86" i="7"/>
  <c r="L12" i="8"/>
  <c r="I79" i="8"/>
  <c r="I109" i="8"/>
  <c r="I22" i="8"/>
  <c r="I129" i="8"/>
  <c r="I128" i="8" s="1"/>
  <c r="N241" i="8"/>
  <c r="T241" i="8" s="1"/>
  <c r="N234" i="8"/>
  <c r="P52" i="5"/>
  <c r="R52" i="5" s="1"/>
  <c r="J13" i="6"/>
  <c r="J119" i="6"/>
  <c r="I120" i="6"/>
  <c r="N120" i="6"/>
  <c r="J123" i="6"/>
  <c r="I124" i="6"/>
  <c r="I123" i="6" s="1"/>
  <c r="I122" i="6" s="1"/>
  <c r="N124" i="6"/>
  <c r="N94" i="6"/>
  <c r="O94" i="6" s="1"/>
  <c r="P94" i="6"/>
  <c r="R99" i="6"/>
  <c r="K126" i="6"/>
  <c r="R107" i="6"/>
  <c r="E87" i="1"/>
  <c r="J25" i="6"/>
  <c r="P25" i="6"/>
  <c r="J30" i="6"/>
  <c r="P30" i="6"/>
  <c r="J16" i="7"/>
  <c r="N16" i="7"/>
  <c r="P16" i="7"/>
  <c r="R16" i="7" s="1"/>
  <c r="P24" i="7"/>
  <c r="N27" i="7"/>
  <c r="N29" i="7"/>
  <c r="N30" i="7"/>
  <c r="J34" i="7"/>
  <c r="I35" i="7"/>
  <c r="I14" i="7" s="1"/>
  <c r="N47" i="7"/>
  <c r="M48" i="7"/>
  <c r="M45" i="7" s="1"/>
  <c r="P63" i="7"/>
  <c r="R63" i="7" s="1"/>
  <c r="N64" i="7"/>
  <c r="M83" i="7"/>
  <c r="P85" i="7"/>
  <c r="R85" i="7" s="1"/>
  <c r="M86" i="7"/>
  <c r="M85" i="7" s="1"/>
  <c r="N88" i="7"/>
  <c r="P9" i="8"/>
  <c r="N75" i="8"/>
  <c r="O75" i="8" s="1"/>
  <c r="N83" i="8"/>
  <c r="I86" i="8"/>
  <c r="I30" i="8"/>
  <c r="I120" i="8"/>
  <c r="I117" i="8" s="1"/>
  <c r="I125" i="8"/>
  <c r="I32" i="8"/>
  <c r="H37" i="1" s="1"/>
  <c r="R20" i="8"/>
  <c r="T37" i="8"/>
  <c r="T39" i="8"/>
  <c r="T42" i="8"/>
  <c r="T45" i="8"/>
  <c r="T51" i="8"/>
  <c r="T53" i="8"/>
  <c r="T56" i="8"/>
  <c r="T59" i="8"/>
  <c r="T64" i="8"/>
  <c r="T66" i="8"/>
  <c r="T68" i="8"/>
  <c r="T76" i="8"/>
  <c r="T77" i="8"/>
  <c r="T78" i="8"/>
  <c r="R82" i="8"/>
  <c r="R83" i="8"/>
  <c r="T84" i="8"/>
  <c r="T85" i="8"/>
  <c r="R106" i="8"/>
  <c r="R107" i="8"/>
  <c r="T108" i="8"/>
  <c r="R111" i="8"/>
  <c r="R112" i="8"/>
  <c r="T113" i="8"/>
  <c r="R117" i="8"/>
  <c r="T118" i="8"/>
  <c r="R120" i="8"/>
  <c r="R122" i="8"/>
  <c r="T123" i="8"/>
  <c r="N130" i="8"/>
  <c r="R134" i="8"/>
  <c r="R135" i="8"/>
  <c r="T137" i="8"/>
  <c r="J189" i="8"/>
  <c r="I190" i="8"/>
  <c r="I191" i="8"/>
  <c r="I194" i="8"/>
  <c r="J196" i="8"/>
  <c r="I197" i="8"/>
  <c r="I198" i="8"/>
  <c r="I28" i="8" s="1"/>
  <c r="H33" i="1" s="1"/>
  <c r="N198" i="8"/>
  <c r="N200" i="8"/>
  <c r="R211" i="8"/>
  <c r="R221" i="8"/>
  <c r="T222" i="8"/>
  <c r="R233" i="8"/>
  <c r="I242" i="8"/>
  <c r="N13" i="9"/>
  <c r="O13" i="9" s="1"/>
  <c r="N64" i="9"/>
  <c r="P13" i="8"/>
  <c r="Q13" i="8" s="1"/>
  <c r="R16" i="8"/>
  <c r="R21" i="8"/>
  <c r="R25" i="8"/>
  <c r="R26" i="8"/>
  <c r="R31" i="8"/>
  <c r="R34" i="8"/>
  <c r="N35" i="8"/>
  <c r="N38" i="8"/>
  <c r="R40" i="8"/>
  <c r="N41" i="8"/>
  <c r="O41" i="8" s="1"/>
  <c r="N44" i="8"/>
  <c r="O44" i="8" s="1"/>
  <c r="N49" i="8"/>
  <c r="N52" i="8"/>
  <c r="N55" i="8"/>
  <c r="T55" i="8" s="1"/>
  <c r="N58" i="8"/>
  <c r="R61" i="8"/>
  <c r="N62" i="8"/>
  <c r="N61" i="8" s="1"/>
  <c r="N65" i="8"/>
  <c r="N67" i="8"/>
  <c r="P67" i="8"/>
  <c r="J75" i="8"/>
  <c r="L75" i="8"/>
  <c r="I76" i="8"/>
  <c r="I77" i="8"/>
  <c r="I15" i="8" s="1"/>
  <c r="R77" i="8"/>
  <c r="I78" i="8"/>
  <c r="N79" i="8"/>
  <c r="I85" i="8"/>
  <c r="N86" i="8"/>
  <c r="T106" i="8"/>
  <c r="N114" i="8"/>
  <c r="N111" i="8" s="1"/>
  <c r="O111" i="8" s="1"/>
  <c r="M120" i="8"/>
  <c r="M117" i="8" s="1"/>
  <c r="M11" i="8" s="1"/>
  <c r="J129" i="8"/>
  <c r="N136" i="8"/>
  <c r="R188" i="8"/>
  <c r="N190" i="8"/>
  <c r="T190" i="8" s="1"/>
  <c r="N191" i="8"/>
  <c r="N194" i="8"/>
  <c r="N197" i="8"/>
  <c r="T197" i="8" s="1"/>
  <c r="O59" i="9"/>
  <c r="N67" i="9"/>
  <c r="R252" i="8"/>
  <c r="R16" i="9"/>
  <c r="R18" i="9"/>
  <c r="N26" i="9"/>
  <c r="R45" i="9"/>
  <c r="R49" i="9"/>
  <c r="R52" i="9"/>
  <c r="R56" i="9"/>
  <c r="R59" i="9"/>
  <c r="R14" i="10"/>
  <c r="R16" i="10"/>
  <c r="R18" i="10"/>
  <c r="R24" i="10"/>
  <c r="J244" i="8"/>
  <c r="J243" i="8" s="1"/>
  <c r="I245" i="8"/>
  <c r="N248" i="8"/>
  <c r="T248" i="8" s="1"/>
  <c r="J58" i="9"/>
  <c r="N58" i="9"/>
  <c r="P58" i="9"/>
  <c r="Q58" i="9" s="1"/>
  <c r="I71" i="9"/>
  <c r="I70" i="9" s="1"/>
  <c r="I69" i="9" s="1"/>
  <c r="I64" i="9" s="1"/>
  <c r="I62" i="9" s="1"/>
  <c r="O71" i="1" l="1"/>
  <c r="P72" i="1"/>
  <c r="N14" i="9"/>
  <c r="O14" i="9" s="1"/>
  <c r="O17" i="9"/>
  <c r="O55" i="9"/>
  <c r="O52" i="1"/>
  <c r="P53" i="1"/>
  <c r="P34" i="1"/>
  <c r="N29" i="1"/>
  <c r="P29" i="1"/>
  <c r="P26" i="1"/>
  <c r="P32" i="1"/>
  <c r="P18" i="1"/>
  <c r="K52" i="1"/>
  <c r="N218" i="8"/>
  <c r="T219" i="8"/>
  <c r="T207" i="8"/>
  <c r="T214" i="8"/>
  <c r="O214" i="8"/>
  <c r="T211" i="8"/>
  <c r="O211" i="8"/>
  <c r="N203" i="8"/>
  <c r="O204" i="8"/>
  <c r="T25" i="8"/>
  <c r="O25" i="8"/>
  <c r="N90" i="8"/>
  <c r="O91" i="8"/>
  <c r="Q25" i="6"/>
  <c r="R94" i="6"/>
  <c r="Q94" i="6"/>
  <c r="O124" i="6"/>
  <c r="O47" i="6"/>
  <c r="O83" i="6"/>
  <c r="O97" i="6"/>
  <c r="N114" i="6"/>
  <c r="O114" i="6" s="1"/>
  <c r="O115" i="6"/>
  <c r="O73" i="6"/>
  <c r="N72" i="6"/>
  <c r="O120" i="6"/>
  <c r="P105" i="6"/>
  <c r="Q105" i="6" s="1"/>
  <c r="Q122" i="6"/>
  <c r="O37" i="6"/>
  <c r="O100" i="6"/>
  <c r="O127" i="6"/>
  <c r="O95" i="6"/>
  <c r="N17" i="6"/>
  <c r="O18" i="6"/>
  <c r="N76" i="6"/>
  <c r="O76" i="6" s="1"/>
  <c r="O77" i="6"/>
  <c r="N79" i="6"/>
  <c r="O79" i="6" s="1"/>
  <c r="O80" i="6"/>
  <c r="O70" i="6"/>
  <c r="N69" i="6"/>
  <c r="M50" i="1"/>
  <c r="N50" i="1" s="1"/>
  <c r="R22" i="2"/>
  <c r="L35" i="2"/>
  <c r="F43" i="2"/>
  <c r="O88" i="6"/>
  <c r="Q30" i="6"/>
  <c r="N20" i="6"/>
  <c r="O21" i="6"/>
  <c r="R21" i="3"/>
  <c r="Q21" i="3"/>
  <c r="R43" i="3"/>
  <c r="Q43" i="3"/>
  <c r="R16" i="3"/>
  <c r="Q16" i="3"/>
  <c r="Q17" i="1"/>
  <c r="K22" i="1"/>
  <c r="F35" i="2"/>
  <c r="E26" i="2"/>
  <c r="Q29" i="2"/>
  <c r="Q33" i="2"/>
  <c r="Q37" i="1"/>
  <c r="R432" i="2"/>
  <c r="Q432" i="2"/>
  <c r="R408" i="2"/>
  <c r="Q408" i="2"/>
  <c r="O405" i="2"/>
  <c r="N49" i="2"/>
  <c r="O346" i="2"/>
  <c r="O332" i="2"/>
  <c r="R312" i="2"/>
  <c r="Q312" i="2"/>
  <c r="R281" i="2"/>
  <c r="Q281" i="2"/>
  <c r="O155" i="2"/>
  <c r="O226" i="2"/>
  <c r="O166" i="2"/>
  <c r="N472" i="2"/>
  <c r="O472" i="2" s="1"/>
  <c r="O498" i="2"/>
  <c r="O493" i="2"/>
  <c r="O130" i="2"/>
  <c r="O247" i="2"/>
  <c r="N237" i="2"/>
  <c r="O238" i="2"/>
  <c r="N188" i="2"/>
  <c r="O189" i="2"/>
  <c r="N335" i="2"/>
  <c r="O336" i="2"/>
  <c r="N221" i="2"/>
  <c r="O222" i="2"/>
  <c r="N22" i="2"/>
  <c r="O41" i="2"/>
  <c r="N528" i="2"/>
  <c r="O528" i="2" s="1"/>
  <c r="O529" i="2"/>
  <c r="N479" i="2"/>
  <c r="O502" i="2"/>
  <c r="P21" i="2"/>
  <c r="Q22" i="2"/>
  <c r="L49" i="1"/>
  <c r="M66" i="1"/>
  <c r="N66" i="1" s="1"/>
  <c r="O478" i="2"/>
  <c r="N524" i="2"/>
  <c r="O524" i="2" s="1"/>
  <c r="O525" i="2"/>
  <c r="N512" i="2"/>
  <c r="O513" i="2"/>
  <c r="N500" i="2"/>
  <c r="O500" i="2" s="1"/>
  <c r="O501" i="2"/>
  <c r="R426" i="2"/>
  <c r="Q426" i="2"/>
  <c r="O350" i="2"/>
  <c r="N520" i="2"/>
  <c r="O520" i="2" s="1"/>
  <c r="O521" i="2"/>
  <c r="N179" i="2"/>
  <c r="O179" i="2" s="1"/>
  <c r="O180" i="2"/>
  <c r="N158" i="2"/>
  <c r="O159" i="2"/>
  <c r="N252" i="2"/>
  <c r="O252" i="2" s="1"/>
  <c r="O253" i="2"/>
  <c r="P20" i="2"/>
  <c r="Q20" i="2" s="1"/>
  <c r="Q39" i="2"/>
  <c r="O147" i="2"/>
  <c r="P103" i="2"/>
  <c r="Q104" i="2"/>
  <c r="O400" i="2"/>
  <c r="N73" i="2"/>
  <c r="O73" i="2" s="1"/>
  <c r="O77" i="2"/>
  <c r="O107" i="2"/>
  <c r="O446" i="2"/>
  <c r="Q429" i="2"/>
  <c r="O20" i="1"/>
  <c r="Q19" i="2"/>
  <c r="H26" i="2"/>
  <c r="O150" i="2"/>
  <c r="Q32" i="2"/>
  <c r="O455" i="2"/>
  <c r="Q24" i="2"/>
  <c r="P470" i="2"/>
  <c r="Q470" i="2" s="1"/>
  <c r="Q471" i="2"/>
  <c r="Q463" i="2"/>
  <c r="O453" i="2"/>
  <c r="O142" i="2"/>
  <c r="O145" i="2"/>
  <c r="N30" i="2"/>
  <c r="O30" i="2" s="1"/>
  <c r="O46" i="2"/>
  <c r="P28" i="2"/>
  <c r="Q45" i="2"/>
  <c r="N33" i="2"/>
  <c r="O33" i="2" s="1"/>
  <c r="O49" i="2"/>
  <c r="P372" i="2"/>
  <c r="Q373" i="2"/>
  <c r="N32" i="2"/>
  <c r="O32" i="2" s="1"/>
  <c r="O374" i="2"/>
  <c r="P367" i="2"/>
  <c r="R367" i="2" s="1"/>
  <c r="O24" i="1"/>
  <c r="O16" i="1"/>
  <c r="Q16" i="2"/>
  <c r="Q367" i="2"/>
  <c r="N477" i="2"/>
  <c r="O479" i="2"/>
  <c r="N532" i="2"/>
  <c r="O532" i="2" s="1"/>
  <c r="O533" i="2"/>
  <c r="M63" i="1"/>
  <c r="N63" i="1" s="1"/>
  <c r="L105" i="6"/>
  <c r="L103" i="6" s="1"/>
  <c r="T204" i="8"/>
  <c r="N11" i="7"/>
  <c r="I38" i="1"/>
  <c r="I28" i="10"/>
  <c r="K10" i="3"/>
  <c r="K9" i="3" s="1"/>
  <c r="H21" i="2"/>
  <c r="P103" i="6"/>
  <c r="Q103" i="6" s="1"/>
  <c r="R105" i="6"/>
  <c r="J11" i="6"/>
  <c r="J10" i="6" s="1"/>
  <c r="H69" i="1"/>
  <c r="I17" i="3"/>
  <c r="I49" i="5"/>
  <c r="I48" i="5" s="1"/>
  <c r="I33" i="5" s="1"/>
  <c r="I31" i="5" s="1"/>
  <c r="I38" i="5"/>
  <c r="I35" i="5" s="1"/>
  <c r="I34" i="5" s="1"/>
  <c r="L13" i="2"/>
  <c r="P33" i="5"/>
  <c r="Q33" i="5" s="1"/>
  <c r="N162" i="3"/>
  <c r="I477" i="2"/>
  <c r="I476" i="2" s="1"/>
  <c r="H67" i="1"/>
  <c r="D477" i="2"/>
  <c r="D476" i="2" s="1"/>
  <c r="C67" i="1"/>
  <c r="J450" i="2"/>
  <c r="L467" i="2"/>
  <c r="I37" i="1"/>
  <c r="J31" i="2"/>
  <c r="G31" i="2"/>
  <c r="F37" i="1"/>
  <c r="M72" i="1"/>
  <c r="N72" i="1" s="1"/>
  <c r="J14" i="10"/>
  <c r="T91" i="8"/>
  <c r="I11" i="7"/>
  <c r="I9" i="7" s="1"/>
  <c r="M10" i="3"/>
  <c r="M9" i="3" s="1"/>
  <c r="H59" i="1"/>
  <c r="L31" i="2"/>
  <c r="K105" i="6"/>
  <c r="K103" i="6" s="1"/>
  <c r="N12" i="10"/>
  <c r="N51" i="9"/>
  <c r="M10" i="8"/>
  <c r="M9" i="8" s="1"/>
  <c r="N15" i="7"/>
  <c r="O15" i="7" s="1"/>
  <c r="J75" i="1"/>
  <c r="I17" i="1"/>
  <c r="F31" i="2"/>
  <c r="I58" i="9"/>
  <c r="N74" i="8"/>
  <c r="N38" i="5"/>
  <c r="O38" i="5" s="1"/>
  <c r="I15" i="4"/>
  <c r="M50" i="7"/>
  <c r="I11" i="4"/>
  <c r="I9" i="4" s="1"/>
  <c r="I16" i="4"/>
  <c r="H57" i="1" s="1"/>
  <c r="M11" i="6"/>
  <c r="M13" i="2"/>
  <c r="J477" i="2"/>
  <c r="J476" i="2" s="1"/>
  <c r="I67" i="1"/>
  <c r="K467" i="2"/>
  <c r="J51" i="1"/>
  <c r="J49" i="1" s="1"/>
  <c r="H31" i="2"/>
  <c r="G37" i="1"/>
  <c r="D31" i="2"/>
  <c r="C37" i="1"/>
  <c r="E31" i="2"/>
  <c r="D37" i="1"/>
  <c r="N244" i="8"/>
  <c r="N238" i="8"/>
  <c r="M68" i="1" s="1"/>
  <c r="N68" i="1" s="1"/>
  <c r="Q56" i="1"/>
  <c r="K75" i="1"/>
  <c r="T244" i="8"/>
  <c r="N108" i="6"/>
  <c r="O108" i="6" s="1"/>
  <c r="L10" i="3"/>
  <c r="L9" i="3" s="1"/>
  <c r="R39" i="2"/>
  <c r="R141" i="2"/>
  <c r="K13" i="2"/>
  <c r="K11" i="2" s="1"/>
  <c r="N111" i="2"/>
  <c r="O111" i="2" s="1"/>
  <c r="P31" i="2"/>
  <c r="O38" i="1"/>
  <c r="N22" i="3"/>
  <c r="O22" i="3" s="1"/>
  <c r="N17" i="3"/>
  <c r="O17" i="3" s="1"/>
  <c r="R108" i="3"/>
  <c r="P10" i="3"/>
  <c r="Q10" i="3" s="1"/>
  <c r="Q58" i="1"/>
  <c r="O74" i="1"/>
  <c r="P74" i="1" s="1"/>
  <c r="N22" i="4"/>
  <c r="M67" i="1"/>
  <c r="N67" i="1" s="1"/>
  <c r="N15" i="4"/>
  <c r="M56" i="1" s="1"/>
  <c r="N56" i="1" s="1"/>
  <c r="M57" i="1"/>
  <c r="N57" i="1" s="1"/>
  <c r="N13" i="4"/>
  <c r="N28" i="9"/>
  <c r="K14" i="9"/>
  <c r="R11" i="8"/>
  <c r="R243" i="8"/>
  <c r="T251" i="8"/>
  <c r="T252" i="8"/>
  <c r="N48" i="8"/>
  <c r="I20" i="8"/>
  <c r="T35" i="8"/>
  <c r="N34" i="8"/>
  <c r="K9" i="8"/>
  <c r="E22" i="1"/>
  <c r="K28" i="1"/>
  <c r="F28" i="1"/>
  <c r="D28" i="1"/>
  <c r="L65" i="1"/>
  <c r="L75" i="1"/>
  <c r="L28" i="1"/>
  <c r="I65" i="1"/>
  <c r="I64" i="1" s="1"/>
  <c r="I75" i="1"/>
  <c r="J28" i="1"/>
  <c r="G28" i="1"/>
  <c r="E28" i="1"/>
  <c r="T234" i="8"/>
  <c r="M55" i="1"/>
  <c r="N55" i="1" s="1"/>
  <c r="I22" i="4"/>
  <c r="H66" i="1"/>
  <c r="E52" i="1"/>
  <c r="K64" i="1"/>
  <c r="J52" i="1"/>
  <c r="K15" i="1"/>
  <c r="L15" i="1"/>
  <c r="J15" i="1"/>
  <c r="I22" i="3"/>
  <c r="D24" i="1"/>
  <c r="E21" i="2"/>
  <c r="N23" i="2"/>
  <c r="N20" i="2"/>
  <c r="O20" i="2" s="1"/>
  <c r="D21" i="2"/>
  <c r="J22" i="1"/>
  <c r="F15" i="2"/>
  <c r="F14" i="2" s="1"/>
  <c r="E20" i="1"/>
  <c r="G15" i="2"/>
  <c r="F17" i="1"/>
  <c r="P17" i="1" s="1"/>
  <c r="D17" i="1"/>
  <c r="P15" i="2"/>
  <c r="I472" i="2"/>
  <c r="C16" i="1"/>
  <c r="D15" i="2"/>
  <c r="N474" i="2"/>
  <c r="R482" i="2"/>
  <c r="P469" i="2"/>
  <c r="Q469" i="2" s="1"/>
  <c r="L22" i="1"/>
  <c r="D28" i="2"/>
  <c r="C31" i="1" s="1"/>
  <c r="J469" i="2"/>
  <c r="J28" i="2"/>
  <c r="I31" i="1" s="1"/>
  <c r="P26" i="2"/>
  <c r="H15" i="2"/>
  <c r="H14" i="2" s="1"/>
  <c r="G20" i="1"/>
  <c r="H25" i="2"/>
  <c r="J16" i="2"/>
  <c r="I16" i="1" s="1"/>
  <c r="E16" i="2"/>
  <c r="D16" i="1" s="1"/>
  <c r="R12" i="2"/>
  <c r="G25" i="2"/>
  <c r="E25" i="2"/>
  <c r="G21" i="2"/>
  <c r="N429" i="2"/>
  <c r="O429" i="2" s="1"/>
  <c r="N27" i="2"/>
  <c r="O27" i="2" s="1"/>
  <c r="N29" i="2"/>
  <c r="O29" i="2" s="1"/>
  <c r="F26" i="2"/>
  <c r="F25" i="2" s="1"/>
  <c r="I422" i="2"/>
  <c r="I421" i="2" s="1"/>
  <c r="I17" i="2"/>
  <c r="K421" i="2"/>
  <c r="I225" i="2"/>
  <c r="M25" i="2"/>
  <c r="H34" i="1"/>
  <c r="N373" i="2"/>
  <c r="O373" i="2" s="1"/>
  <c r="I22" i="2"/>
  <c r="L35" i="1"/>
  <c r="J35" i="1"/>
  <c r="F35" i="1"/>
  <c r="L26" i="2"/>
  <c r="I373" i="2"/>
  <c r="L470" i="2"/>
  <c r="R225" i="2"/>
  <c r="I263" i="2"/>
  <c r="K40" i="2"/>
  <c r="K35" i="2" s="1"/>
  <c r="R242" i="2"/>
  <c r="I363" i="2"/>
  <c r="R19" i="2"/>
  <c r="R435" i="2"/>
  <c r="I435" i="2"/>
  <c r="N42" i="2"/>
  <c r="I42" i="2"/>
  <c r="P44" i="2"/>
  <c r="Q44" i="2" s="1"/>
  <c r="H35" i="2"/>
  <c r="E449" i="2"/>
  <c r="J86" i="1"/>
  <c r="I45" i="2"/>
  <c r="I28" i="2" s="1"/>
  <c r="H31" i="1" s="1"/>
  <c r="I501" i="2"/>
  <c r="I500" i="2" s="1"/>
  <c r="N104" i="2"/>
  <c r="O104" i="2" s="1"/>
  <c r="N45" i="2"/>
  <c r="R132" i="3"/>
  <c r="R180" i="3"/>
  <c r="I132" i="3"/>
  <c r="N61" i="3"/>
  <c r="I74" i="3"/>
  <c r="I73" i="3" s="1"/>
  <c r="R168" i="3"/>
  <c r="R144" i="3"/>
  <c r="I97" i="3"/>
  <c r="I96" i="3" s="1"/>
  <c r="I120" i="3"/>
  <c r="R150" i="3"/>
  <c r="J132" i="3"/>
  <c r="R174" i="3"/>
  <c r="R186" i="3"/>
  <c r="I138" i="3"/>
  <c r="N44" i="3"/>
  <c r="O44" i="3" s="1"/>
  <c r="I126" i="3"/>
  <c r="R156" i="3"/>
  <c r="J162" i="3"/>
  <c r="R138" i="3"/>
  <c r="R114" i="3"/>
  <c r="I109" i="3"/>
  <c r="I108" i="3" s="1"/>
  <c r="R102" i="3"/>
  <c r="I79" i="3"/>
  <c r="R61" i="3"/>
  <c r="P18" i="3"/>
  <c r="R13" i="3"/>
  <c r="P12" i="3"/>
  <c r="R55" i="3"/>
  <c r="J108" i="3"/>
  <c r="R120" i="3"/>
  <c r="R79" i="3"/>
  <c r="R22" i="4"/>
  <c r="R28" i="4"/>
  <c r="R13" i="4"/>
  <c r="O35" i="1"/>
  <c r="P35" i="1" s="1"/>
  <c r="M22" i="4"/>
  <c r="M21" i="4" s="1"/>
  <c r="N49" i="5"/>
  <c r="O49" i="5" s="1"/>
  <c r="R48" i="5"/>
  <c r="R16" i="5"/>
  <c r="R10" i="5"/>
  <c r="I108" i="6"/>
  <c r="I107" i="6" s="1"/>
  <c r="I106" i="6" s="1"/>
  <c r="G22" i="1"/>
  <c r="R30" i="6"/>
  <c r="Q29" i="1"/>
  <c r="J89" i="1"/>
  <c r="Q72" i="1"/>
  <c r="Q71" i="1" s="1"/>
  <c r="R25" i="6"/>
  <c r="P11" i="6"/>
  <c r="L11" i="6"/>
  <c r="L10" i="6" s="1"/>
  <c r="M10" i="6"/>
  <c r="K11" i="6"/>
  <c r="G35" i="1"/>
  <c r="N22" i="6"/>
  <c r="O22" i="6" s="1"/>
  <c r="I12" i="6"/>
  <c r="R22" i="6"/>
  <c r="L19" i="6"/>
  <c r="R19" i="6" s="1"/>
  <c r="I20" i="6"/>
  <c r="I19" i="6"/>
  <c r="P12" i="6"/>
  <c r="Q12" i="6" s="1"/>
  <c r="N99" i="6"/>
  <c r="O99" i="6" s="1"/>
  <c r="Q67" i="1"/>
  <c r="E86" i="1"/>
  <c r="I28" i="6"/>
  <c r="I26" i="6"/>
  <c r="I25" i="6" s="1"/>
  <c r="I30" i="6"/>
  <c r="R122" i="6"/>
  <c r="R14" i="6"/>
  <c r="R118" i="6"/>
  <c r="R110" i="6"/>
  <c r="F71" i="1"/>
  <c r="F64" i="1" s="1"/>
  <c r="F87" i="1"/>
  <c r="K35" i="1"/>
  <c r="F86" i="1"/>
  <c r="Q55" i="1"/>
  <c r="N36" i="6"/>
  <c r="G87" i="1"/>
  <c r="G71" i="1"/>
  <c r="G64" i="1" s="1"/>
  <c r="L71" i="1"/>
  <c r="L64" i="1" s="1"/>
  <c r="P13" i="6"/>
  <c r="I46" i="7"/>
  <c r="I45" i="7" s="1"/>
  <c r="N18" i="7"/>
  <c r="R50" i="7"/>
  <c r="R24" i="7"/>
  <c r="I50" i="7"/>
  <c r="R45" i="7"/>
  <c r="R18" i="7"/>
  <c r="M16" i="7"/>
  <c r="M12" i="7" s="1"/>
  <c r="M19" i="7"/>
  <c r="M18" i="7" s="1"/>
  <c r="R251" i="8"/>
  <c r="N210" i="8"/>
  <c r="O210" i="8" s="1"/>
  <c r="I16" i="8"/>
  <c r="H18" i="1" s="1"/>
  <c r="R247" i="8"/>
  <c r="W230" i="8"/>
  <c r="P229" i="8"/>
  <c r="O51" i="1" s="1"/>
  <c r="P51" i="1" s="1"/>
  <c r="N32" i="8"/>
  <c r="T201" i="8"/>
  <c r="I138" i="8"/>
  <c r="I31" i="8"/>
  <c r="I98" i="8"/>
  <c r="R29" i="8"/>
  <c r="G86" i="1"/>
  <c r="I34" i="4"/>
  <c r="P21" i="4"/>
  <c r="J96" i="3"/>
  <c r="N148" i="3"/>
  <c r="I497" i="2"/>
  <c r="I496" i="2" s="1"/>
  <c r="I493" i="2"/>
  <c r="I22" i="7"/>
  <c r="H72" i="1" s="1"/>
  <c r="J458" i="2"/>
  <c r="J87" i="1"/>
  <c r="N492" i="2"/>
  <c r="O492" i="2" s="1"/>
  <c r="I216" i="2"/>
  <c r="N38" i="2"/>
  <c r="N258" i="2"/>
  <c r="O258" i="2" s="1"/>
  <c r="R66" i="2"/>
  <c r="C34" i="1"/>
  <c r="J40" i="2"/>
  <c r="J24" i="2"/>
  <c r="I26" i="1" s="1"/>
  <c r="P36" i="2"/>
  <c r="O21" i="1"/>
  <c r="P21" i="1" s="1"/>
  <c r="E36" i="2"/>
  <c r="E35" i="2" s="1"/>
  <c r="D21" i="1"/>
  <c r="L25" i="2"/>
  <c r="M15" i="2"/>
  <c r="K21" i="2"/>
  <c r="O70" i="9"/>
  <c r="T38" i="8"/>
  <c r="I13" i="7"/>
  <c r="N21" i="3"/>
  <c r="O21" i="3" s="1"/>
  <c r="R41" i="9"/>
  <c r="N41" i="9"/>
  <c r="J12" i="9"/>
  <c r="J11" i="9" s="1"/>
  <c r="R236" i="8"/>
  <c r="P235" i="8"/>
  <c r="Q235" i="8" s="1"/>
  <c r="R195" i="8"/>
  <c r="R15" i="9"/>
  <c r="P14" i="9"/>
  <c r="Q14" i="9" s="1"/>
  <c r="N117" i="8"/>
  <c r="T88" i="8"/>
  <c r="I55" i="8"/>
  <c r="I54" i="8" s="1"/>
  <c r="I25" i="8"/>
  <c r="J29" i="8"/>
  <c r="J23" i="8" s="1"/>
  <c r="N30" i="8"/>
  <c r="M38" i="1" s="1"/>
  <c r="M35" i="1" s="1"/>
  <c r="M27" i="1" s="1"/>
  <c r="M41" i="1" s="1"/>
  <c r="K23" i="8"/>
  <c r="P23" i="8"/>
  <c r="Q23" i="8" s="1"/>
  <c r="N60" i="7"/>
  <c r="L86" i="1"/>
  <c r="I114" i="6"/>
  <c r="D87" i="1"/>
  <c r="I452" i="2"/>
  <c r="R454" i="2"/>
  <c r="R452" i="2"/>
  <c r="P449" i="2"/>
  <c r="R179" i="2"/>
  <c r="R348" i="2"/>
  <c r="R344" i="2"/>
  <c r="R294" i="2"/>
  <c r="R267" i="2"/>
  <c r="R252" i="2"/>
  <c r="R128" i="2"/>
  <c r="P127" i="2"/>
  <c r="Q127" i="2" s="1"/>
  <c r="R111" i="2"/>
  <c r="J95" i="2"/>
  <c r="I73" i="2"/>
  <c r="N58" i="2"/>
  <c r="O58" i="2" s="1"/>
  <c r="R58" i="2"/>
  <c r="D44" i="2"/>
  <c r="J20" i="2"/>
  <c r="J15" i="2" s="1"/>
  <c r="I21" i="1"/>
  <c r="J36" i="2"/>
  <c r="L15" i="2"/>
  <c r="L14" i="2" s="1"/>
  <c r="K15" i="2"/>
  <c r="E35" i="1"/>
  <c r="R44" i="2"/>
  <c r="M21" i="2"/>
  <c r="I238" i="8"/>
  <c r="I244" i="8"/>
  <c r="I243" i="8" s="1"/>
  <c r="N124" i="3"/>
  <c r="J348" i="2"/>
  <c r="N340" i="2"/>
  <c r="O340" i="2" s="1"/>
  <c r="J339" i="2"/>
  <c r="J330" i="2"/>
  <c r="R321" i="2"/>
  <c r="N276" i="2"/>
  <c r="O276" i="2" s="1"/>
  <c r="N272" i="2"/>
  <c r="O272" i="2" s="1"/>
  <c r="N208" i="2"/>
  <c r="R198" i="2"/>
  <c r="N193" i="2"/>
  <c r="O193" i="2" s="1"/>
  <c r="J183" i="2"/>
  <c r="N174" i="2"/>
  <c r="O174" i="2" s="1"/>
  <c r="J162" i="2"/>
  <c r="R82" i="2"/>
  <c r="P81" i="2"/>
  <c r="Q81" i="2" s="1"/>
  <c r="N65" i="2"/>
  <c r="O65" i="2" s="1"/>
  <c r="R51" i="2"/>
  <c r="R47" i="2"/>
  <c r="P43" i="2"/>
  <c r="Q53" i="1"/>
  <c r="D370" i="2"/>
  <c r="D367" i="2" s="1"/>
  <c r="Q65" i="1"/>
  <c r="Q64" i="1" s="1"/>
  <c r="D47" i="2"/>
  <c r="R58" i="9"/>
  <c r="N66" i="9"/>
  <c r="N192" i="8"/>
  <c r="N21" i="8"/>
  <c r="I83" i="8"/>
  <c r="I82" i="8" s="1"/>
  <c r="I26" i="8"/>
  <c r="I75" i="8"/>
  <c r="I74" i="8" s="1"/>
  <c r="I14" i="8"/>
  <c r="I13" i="8" s="1"/>
  <c r="T75" i="8"/>
  <c r="J74" i="8"/>
  <c r="R67" i="8"/>
  <c r="J12" i="8"/>
  <c r="R13" i="8"/>
  <c r="P12" i="8"/>
  <c r="Q12" i="8" s="1"/>
  <c r="O64" i="9"/>
  <c r="N62" i="9"/>
  <c r="O62" i="9" s="1"/>
  <c r="N243" i="8"/>
  <c r="T243" i="8" s="1"/>
  <c r="I241" i="8"/>
  <c r="I234" i="8"/>
  <c r="I240" i="8"/>
  <c r="I229" i="8" s="1"/>
  <c r="I227" i="8" s="1"/>
  <c r="J195" i="8"/>
  <c r="J188" i="8"/>
  <c r="N129" i="8"/>
  <c r="N128" i="8" s="1"/>
  <c r="N16" i="8"/>
  <c r="O16" i="8" s="1"/>
  <c r="I29" i="8"/>
  <c r="N82" i="8"/>
  <c r="T65" i="8"/>
  <c r="T58" i="8"/>
  <c r="N63" i="7"/>
  <c r="N34" i="7"/>
  <c r="J33" i="7"/>
  <c r="N24" i="7"/>
  <c r="P12" i="7"/>
  <c r="J12" i="7"/>
  <c r="N26" i="6"/>
  <c r="R106" i="6"/>
  <c r="N119" i="6"/>
  <c r="J118" i="6"/>
  <c r="N240" i="8"/>
  <c r="T240" i="8" s="1"/>
  <c r="T191" i="8"/>
  <c r="I122" i="8"/>
  <c r="I106" i="8"/>
  <c r="C30" i="1"/>
  <c r="N30" i="1" s="1"/>
  <c r="T52" i="8"/>
  <c r="N67" i="7"/>
  <c r="I16" i="7"/>
  <c r="K86" i="1"/>
  <c r="N29" i="4"/>
  <c r="J28" i="4"/>
  <c r="P12" i="4"/>
  <c r="R12" i="4" s="1"/>
  <c r="J12" i="4"/>
  <c r="N186" i="3"/>
  <c r="N121" i="3"/>
  <c r="N115" i="3"/>
  <c r="J114" i="3"/>
  <c r="N109" i="3"/>
  <c r="I150" i="3"/>
  <c r="J144" i="3"/>
  <c r="J11" i="3" s="1"/>
  <c r="I20" i="3"/>
  <c r="I91" i="3"/>
  <c r="I90" i="3" s="1"/>
  <c r="I86" i="3"/>
  <c r="I85" i="3" s="1"/>
  <c r="I15" i="3"/>
  <c r="N77" i="3"/>
  <c r="J73" i="3"/>
  <c r="N58" i="3"/>
  <c r="J55" i="3"/>
  <c r="I53" i="3"/>
  <c r="I49" i="3" s="1"/>
  <c r="I450" i="2"/>
  <c r="I449" i="2" s="1"/>
  <c r="N516" i="2"/>
  <c r="O516" i="2" s="1"/>
  <c r="N496" i="2"/>
  <c r="O496" i="2" s="1"/>
  <c r="I482" i="2"/>
  <c r="I469" i="2" s="1"/>
  <c r="P428" i="2"/>
  <c r="Q428" i="2" s="1"/>
  <c r="R422" i="2"/>
  <c r="P421" i="2"/>
  <c r="Q421" i="2" s="1"/>
  <c r="I371" i="2"/>
  <c r="I23" i="2" s="1"/>
  <c r="H24" i="1" s="1"/>
  <c r="I406" i="2"/>
  <c r="I369" i="2"/>
  <c r="I368" i="2" s="1"/>
  <c r="I404" i="2"/>
  <c r="I403" i="2" s="1"/>
  <c r="R394" i="2"/>
  <c r="N129" i="3"/>
  <c r="I48" i="4"/>
  <c r="N370" i="2"/>
  <c r="O370" i="2" s="1"/>
  <c r="N354" i="2"/>
  <c r="O354" i="2" s="1"/>
  <c r="N349" i="2"/>
  <c r="O349" i="2" s="1"/>
  <c r="I345" i="2"/>
  <c r="I344" i="2" s="1"/>
  <c r="N331" i="2"/>
  <c r="O331" i="2" s="1"/>
  <c r="N303" i="2"/>
  <c r="O303" i="2" s="1"/>
  <c r="N267" i="2"/>
  <c r="O267" i="2" s="1"/>
  <c r="N246" i="2"/>
  <c r="O246" i="2" s="1"/>
  <c r="J204" i="2"/>
  <c r="J192" i="2"/>
  <c r="N184" i="2"/>
  <c r="O184" i="2" s="1"/>
  <c r="N168" i="2"/>
  <c r="O168" i="2" s="1"/>
  <c r="N163" i="2"/>
  <c r="O163" i="2" s="1"/>
  <c r="N154" i="2"/>
  <c r="W37" i="2"/>
  <c r="N37" i="2"/>
  <c r="O37" i="2" s="1"/>
  <c r="J153" i="2"/>
  <c r="N141" i="2"/>
  <c r="N127" i="2"/>
  <c r="O127" i="2" s="1"/>
  <c r="N88" i="2"/>
  <c r="O88" i="2" s="1"/>
  <c r="J65" i="2"/>
  <c r="O58" i="9"/>
  <c r="N247" i="8"/>
  <c r="T247" i="8" s="1"/>
  <c r="N23" i="9"/>
  <c r="O71" i="9"/>
  <c r="N196" i="8"/>
  <c r="N189" i="8"/>
  <c r="N26" i="8"/>
  <c r="N135" i="8"/>
  <c r="N134" i="8" s="1"/>
  <c r="J128" i="8"/>
  <c r="T129" i="8"/>
  <c r="L74" i="8"/>
  <c r="N54" i="8"/>
  <c r="N40" i="8"/>
  <c r="O40" i="8" s="1"/>
  <c r="O69" i="9"/>
  <c r="N199" i="8"/>
  <c r="N31" i="8"/>
  <c r="N28" i="8"/>
  <c r="I196" i="8"/>
  <c r="I195" i="8" s="1"/>
  <c r="I192" i="8"/>
  <c r="I21" i="8"/>
  <c r="I189" i="8"/>
  <c r="I188" i="8" s="1"/>
  <c r="T130" i="8"/>
  <c r="T198" i="8"/>
  <c r="C25" i="1"/>
  <c r="N25" i="1" s="1"/>
  <c r="T136" i="8"/>
  <c r="T86" i="8"/>
  <c r="N14" i="8"/>
  <c r="O14" i="8" s="1"/>
  <c r="R75" i="8"/>
  <c r="T67" i="8"/>
  <c r="T62" i="8"/>
  <c r="T49" i="8"/>
  <c r="T44" i="8"/>
  <c r="M79" i="7"/>
  <c r="N31" i="6"/>
  <c r="N123" i="6"/>
  <c r="J122" i="6"/>
  <c r="I14" i="6"/>
  <c r="I13" i="6" s="1"/>
  <c r="I119" i="6"/>
  <c r="I118" i="6" s="1"/>
  <c r="N52" i="5"/>
  <c r="O52" i="5" s="1"/>
  <c r="N231" i="8"/>
  <c r="T200" i="8"/>
  <c r="T194" i="8"/>
  <c r="T114" i="8"/>
  <c r="T83" i="8"/>
  <c r="T79" i="8"/>
  <c r="T41" i="8"/>
  <c r="N33" i="6"/>
  <c r="N28" i="6"/>
  <c r="I19" i="7"/>
  <c r="I34" i="7"/>
  <c r="I33" i="7" s="1"/>
  <c r="N39" i="4"/>
  <c r="J38" i="4"/>
  <c r="I29" i="4"/>
  <c r="I28" i="4" s="1"/>
  <c r="Y12" i="4"/>
  <c r="N157" i="3"/>
  <c r="J156" i="3"/>
  <c r="N141" i="3"/>
  <c r="N127" i="3"/>
  <c r="N43" i="3"/>
  <c r="O43" i="3" s="1"/>
  <c r="N38" i="3"/>
  <c r="O38" i="3" s="1"/>
  <c r="N103" i="3"/>
  <c r="J102" i="3"/>
  <c r="N97" i="3"/>
  <c r="J150" i="3"/>
  <c r="I145" i="3"/>
  <c r="I144" i="3" s="1"/>
  <c r="I11" i="3" s="1"/>
  <c r="I14" i="3"/>
  <c r="N91" i="3"/>
  <c r="N20" i="3"/>
  <c r="J90" i="3"/>
  <c r="N15" i="3"/>
  <c r="J85" i="3"/>
  <c r="N82" i="3"/>
  <c r="J79" i="3"/>
  <c r="N67" i="3"/>
  <c r="N53" i="3"/>
  <c r="J49" i="3"/>
  <c r="N451" i="2"/>
  <c r="N459" i="2"/>
  <c r="I458" i="2"/>
  <c r="N452" i="2"/>
  <c r="N482" i="2"/>
  <c r="N442" i="2"/>
  <c r="O442" i="2" s="1"/>
  <c r="N428" i="2"/>
  <c r="O428" i="2" s="1"/>
  <c r="N421" i="2"/>
  <c r="O421" i="2" s="1"/>
  <c r="N404" i="2"/>
  <c r="O404" i="2" s="1"/>
  <c r="N369" i="2"/>
  <c r="O369" i="2" s="1"/>
  <c r="J403" i="2"/>
  <c r="R399" i="2"/>
  <c r="N394" i="2"/>
  <c r="O394" i="2" s="1"/>
  <c r="N386" i="2"/>
  <c r="O386" i="2" s="1"/>
  <c r="R385" i="2"/>
  <c r="V366" i="2"/>
  <c r="I79" i="7"/>
  <c r="N48" i="4"/>
  <c r="N73" i="3"/>
  <c r="N132" i="3"/>
  <c r="N150" i="3"/>
  <c r="I61" i="3"/>
  <c r="I348" i="2"/>
  <c r="N345" i="2"/>
  <c r="R339" i="2"/>
  <c r="R330" i="2"/>
  <c r="R303" i="2"/>
  <c r="N294" i="2"/>
  <c r="O294" i="2" s="1"/>
  <c r="R231" i="2"/>
  <c r="R216" i="2"/>
  <c r="N198" i="2"/>
  <c r="O198" i="2" s="1"/>
  <c r="I192" i="2"/>
  <c r="R192" i="2"/>
  <c r="I183" i="2"/>
  <c r="R183" i="2"/>
  <c r="I166" i="2"/>
  <c r="I162" i="2" s="1"/>
  <c r="R162" i="2"/>
  <c r="I154" i="2"/>
  <c r="I153" i="2" s="1"/>
  <c r="I37" i="2"/>
  <c r="I16" i="2" s="1"/>
  <c r="H16" i="1" s="1"/>
  <c r="R153" i="2"/>
  <c r="R134" i="2"/>
  <c r="R119" i="2"/>
  <c r="N100" i="2"/>
  <c r="O100" i="2" s="1"/>
  <c r="N85" i="2"/>
  <c r="R70" i="2"/>
  <c r="P65" i="2"/>
  <c r="I66" i="2"/>
  <c r="I65" i="2" s="1"/>
  <c r="I39" i="2"/>
  <c r="N51" i="2"/>
  <c r="R40" i="2"/>
  <c r="N86" i="3"/>
  <c r="D40" i="2"/>
  <c r="D36" i="2"/>
  <c r="N225" i="2"/>
  <c r="O225" i="2" s="1"/>
  <c r="C21" i="1"/>
  <c r="N21" i="1" s="1"/>
  <c r="P71" i="1" l="1"/>
  <c r="O64" i="1"/>
  <c r="P64" i="1" s="1"/>
  <c r="N38" i="1"/>
  <c r="N16" i="1"/>
  <c r="N37" i="1"/>
  <c r="P16" i="1"/>
  <c r="P20" i="1"/>
  <c r="N34" i="1"/>
  <c r="N31" i="1"/>
  <c r="P38" i="1"/>
  <c r="P24" i="1"/>
  <c r="P37" i="1"/>
  <c r="L12" i="1"/>
  <c r="O218" i="8"/>
  <c r="T218" i="8"/>
  <c r="T31" i="8"/>
  <c r="O31" i="8"/>
  <c r="T26" i="8"/>
  <c r="O26" i="8"/>
  <c r="T21" i="8"/>
  <c r="O21" i="8"/>
  <c r="T203" i="8"/>
  <c r="O203" i="8"/>
  <c r="T30" i="8"/>
  <c r="O30" i="8"/>
  <c r="T90" i="8"/>
  <c r="O74" i="8"/>
  <c r="R12" i="7"/>
  <c r="Q12" i="7"/>
  <c r="N9" i="7"/>
  <c r="O9" i="7" s="1"/>
  <c r="O11" i="7"/>
  <c r="O123" i="6"/>
  <c r="Q13" i="6"/>
  <c r="O36" i="6"/>
  <c r="O69" i="6"/>
  <c r="W69" i="6"/>
  <c r="O72" i="6"/>
  <c r="W70" i="6"/>
  <c r="O28" i="6"/>
  <c r="O119" i="6"/>
  <c r="O26" i="6"/>
  <c r="N25" i="6"/>
  <c r="I35" i="1"/>
  <c r="Q16" i="1"/>
  <c r="Q11" i="6"/>
  <c r="P10" i="6"/>
  <c r="Q10" i="6" s="1"/>
  <c r="K51" i="1"/>
  <c r="K49" i="1" s="1"/>
  <c r="O17" i="6"/>
  <c r="O33" i="6"/>
  <c r="O31" i="6"/>
  <c r="O20" i="6"/>
  <c r="O15" i="3"/>
  <c r="Q12" i="3"/>
  <c r="O20" i="3"/>
  <c r="R18" i="3"/>
  <c r="Q18" i="3"/>
  <c r="Q15" i="2"/>
  <c r="P13" i="2"/>
  <c r="Q13" i="2" s="1"/>
  <c r="Q65" i="2"/>
  <c r="N81" i="2"/>
  <c r="O81" i="2" s="1"/>
  <c r="O85" i="2"/>
  <c r="O345" i="2"/>
  <c r="N469" i="2"/>
  <c r="O482" i="2"/>
  <c r="O154" i="2"/>
  <c r="O208" i="2"/>
  <c r="M58" i="1"/>
  <c r="N58" i="1" s="1"/>
  <c r="O474" i="2"/>
  <c r="Q21" i="2"/>
  <c r="O22" i="2"/>
  <c r="O221" i="2"/>
  <c r="O335" i="2"/>
  <c r="O188" i="2"/>
  <c r="O237" i="2"/>
  <c r="O51" i="2"/>
  <c r="N18" i="2"/>
  <c r="O38" i="2"/>
  <c r="Q103" i="2"/>
  <c r="R103" i="2"/>
  <c r="O158" i="2"/>
  <c r="O512" i="2"/>
  <c r="O452" i="2"/>
  <c r="O451" i="2"/>
  <c r="O459" i="2"/>
  <c r="O141" i="2"/>
  <c r="K10" i="6"/>
  <c r="J12" i="1"/>
  <c r="N28" i="2"/>
  <c r="O45" i="2"/>
  <c r="P25" i="2"/>
  <c r="Q25" i="2" s="1"/>
  <c r="Q26" i="2"/>
  <c r="O31" i="1"/>
  <c r="P31" i="1" s="1"/>
  <c r="Q28" i="2"/>
  <c r="P35" i="2"/>
  <c r="Q35" i="2" s="1"/>
  <c r="Q36" i="2"/>
  <c r="Q43" i="2"/>
  <c r="N24" i="2"/>
  <c r="O24" i="2" s="1"/>
  <c r="O42" i="2"/>
  <c r="R31" i="2"/>
  <c r="Q31" i="2"/>
  <c r="Q372" i="2"/>
  <c r="R372" i="2"/>
  <c r="N31" i="2"/>
  <c r="O31" i="2" s="1"/>
  <c r="O23" i="2"/>
  <c r="O13" i="1"/>
  <c r="P13" i="1" s="1"/>
  <c r="N476" i="2"/>
  <c r="O476" i="2" s="1"/>
  <c r="O477" i="2"/>
  <c r="I13" i="2"/>
  <c r="D14" i="2"/>
  <c r="Q38" i="1"/>
  <c r="Q35" i="1" s="1"/>
  <c r="I12" i="7"/>
  <c r="M54" i="1"/>
  <c r="N54" i="1" s="1"/>
  <c r="M65" i="1"/>
  <c r="M75" i="1"/>
  <c r="I236" i="8"/>
  <c r="I235" i="8" s="1"/>
  <c r="H68" i="1"/>
  <c r="H75" i="1" s="1"/>
  <c r="J10" i="3"/>
  <c r="J9" i="3" s="1"/>
  <c r="H54" i="1"/>
  <c r="M11" i="2"/>
  <c r="L13" i="1"/>
  <c r="L11" i="1" s="1"/>
  <c r="N33" i="5"/>
  <c r="O33" i="5" s="1"/>
  <c r="H56" i="1"/>
  <c r="I13" i="4"/>
  <c r="N11" i="10"/>
  <c r="P31" i="5"/>
  <c r="Q31" i="5" s="1"/>
  <c r="R33" i="5"/>
  <c r="I105" i="6"/>
  <c r="I103" i="6" s="1"/>
  <c r="N156" i="3"/>
  <c r="J13" i="2"/>
  <c r="I467" i="2"/>
  <c r="I231" i="8"/>
  <c r="I230" i="8" s="1"/>
  <c r="H55" i="1"/>
  <c r="T210" i="8"/>
  <c r="I10" i="3"/>
  <c r="I9" i="3" s="1"/>
  <c r="H17" i="1"/>
  <c r="J467" i="2"/>
  <c r="I28" i="1"/>
  <c r="N107" i="6"/>
  <c r="O107" i="6" s="1"/>
  <c r="N236" i="8"/>
  <c r="T238" i="8"/>
  <c r="D35" i="1"/>
  <c r="D27" i="1" s="1"/>
  <c r="N35" i="5"/>
  <c r="O35" i="5" s="1"/>
  <c r="J105" i="6"/>
  <c r="C75" i="1"/>
  <c r="C65" i="1"/>
  <c r="L11" i="2"/>
  <c r="K13" i="1"/>
  <c r="J449" i="2"/>
  <c r="R103" i="6"/>
  <c r="J13" i="1"/>
  <c r="P14" i="2"/>
  <c r="M74" i="1"/>
  <c r="N74" i="1" s="1"/>
  <c r="P9" i="3"/>
  <c r="Q9" i="3" s="1"/>
  <c r="R10" i="3"/>
  <c r="N21" i="4"/>
  <c r="O12" i="1"/>
  <c r="P12" i="1" s="1"/>
  <c r="R12" i="9"/>
  <c r="P11" i="9"/>
  <c r="Q11" i="9" s="1"/>
  <c r="Q51" i="1"/>
  <c r="O49" i="1"/>
  <c r="P49" i="1" s="1"/>
  <c r="T28" i="8"/>
  <c r="T32" i="8"/>
  <c r="C28" i="1"/>
  <c r="N28" i="1" s="1"/>
  <c r="O15" i="1"/>
  <c r="G15" i="1"/>
  <c r="D22" i="1"/>
  <c r="C22" i="1"/>
  <c r="N22" i="1" s="1"/>
  <c r="E15" i="1"/>
  <c r="F15" i="1"/>
  <c r="F14" i="1" s="1"/>
  <c r="F40" i="1" s="1"/>
  <c r="F77" i="1" s="1"/>
  <c r="H65" i="1"/>
  <c r="I21" i="4"/>
  <c r="L62" i="1"/>
  <c r="L52" i="1" s="1"/>
  <c r="G62" i="1"/>
  <c r="G52" i="1" s="1"/>
  <c r="F62" i="1"/>
  <c r="I53" i="1"/>
  <c r="I52" i="1" s="1"/>
  <c r="D41" i="1"/>
  <c r="D78" i="1" s="1"/>
  <c r="D15" i="1"/>
  <c r="C15" i="1"/>
  <c r="N15" i="1" s="1"/>
  <c r="I15" i="1"/>
  <c r="K27" i="1"/>
  <c r="K41" i="1" s="1"/>
  <c r="I19" i="3"/>
  <c r="H29" i="1"/>
  <c r="R13" i="2"/>
  <c r="P11" i="2"/>
  <c r="Q11" i="2" s="1"/>
  <c r="I12" i="2"/>
  <c r="I11" i="2" s="1"/>
  <c r="J14" i="1"/>
  <c r="J40" i="1" s="1"/>
  <c r="J77" i="1" s="1"/>
  <c r="J12" i="2"/>
  <c r="J26" i="2"/>
  <c r="J25" i="2" s="1"/>
  <c r="D26" i="2"/>
  <c r="D25" i="2" s="1"/>
  <c r="E15" i="2"/>
  <c r="E14" i="2" s="1"/>
  <c r="G14" i="2"/>
  <c r="N16" i="2"/>
  <c r="O16" i="2" s="1"/>
  <c r="I27" i="1"/>
  <c r="I41" i="1" s="1"/>
  <c r="I78" i="1" s="1"/>
  <c r="R469" i="2"/>
  <c r="P467" i="2"/>
  <c r="N21" i="2"/>
  <c r="O21" i="2" s="1"/>
  <c r="N26" i="2"/>
  <c r="L27" i="1"/>
  <c r="L41" i="1" s="1"/>
  <c r="N471" i="2"/>
  <c r="R28" i="2"/>
  <c r="K14" i="2"/>
  <c r="J27" i="1"/>
  <c r="D86" i="1"/>
  <c r="J35" i="2"/>
  <c r="N372" i="2"/>
  <c r="O372" i="2" s="1"/>
  <c r="R470" i="2"/>
  <c r="I372" i="2"/>
  <c r="Q24" i="1"/>
  <c r="Q20" i="1"/>
  <c r="D43" i="2"/>
  <c r="R24" i="2"/>
  <c r="I44" i="2"/>
  <c r="N44" i="2"/>
  <c r="O44" i="2" s="1"/>
  <c r="N103" i="2"/>
  <c r="O103" i="2" s="1"/>
  <c r="N144" i="3"/>
  <c r="N11" i="3" s="1"/>
  <c r="K78" i="1"/>
  <c r="I13" i="3"/>
  <c r="R12" i="3"/>
  <c r="Q75" i="1"/>
  <c r="R21" i="4"/>
  <c r="R13" i="5"/>
  <c r="E89" i="1"/>
  <c r="E27" i="1"/>
  <c r="E41" i="1" s="1"/>
  <c r="E78" i="1" s="1"/>
  <c r="G14" i="1"/>
  <c r="C71" i="1"/>
  <c r="K89" i="1"/>
  <c r="N12" i="6"/>
  <c r="O12" i="6" s="1"/>
  <c r="I11" i="6"/>
  <c r="I10" i="6" s="1"/>
  <c r="R11" i="6"/>
  <c r="R12" i="6"/>
  <c r="N19" i="6"/>
  <c r="O19" i="6" s="1"/>
  <c r="R13" i="6"/>
  <c r="Q63" i="1"/>
  <c r="F99" i="1"/>
  <c r="F89" i="1"/>
  <c r="E14" i="1"/>
  <c r="C62" i="1"/>
  <c r="C52" i="1" s="1"/>
  <c r="L14" i="1"/>
  <c r="P227" i="8"/>
  <c r="Q227" i="8" s="1"/>
  <c r="R229" i="8"/>
  <c r="G89" i="1"/>
  <c r="J100" i="1"/>
  <c r="R127" i="2"/>
  <c r="R449" i="2"/>
  <c r="L87" i="1"/>
  <c r="R235" i="8"/>
  <c r="W236" i="8"/>
  <c r="R20" i="2"/>
  <c r="U15" i="2" s="1"/>
  <c r="I21" i="7"/>
  <c r="H36" i="1"/>
  <c r="E99" i="1"/>
  <c r="J99" i="1"/>
  <c r="K14" i="1"/>
  <c r="K40" i="1" s="1"/>
  <c r="Q19" i="1"/>
  <c r="R476" i="2"/>
  <c r="L89" i="1"/>
  <c r="R23" i="8"/>
  <c r="T117" i="8"/>
  <c r="R14" i="9"/>
  <c r="M14" i="2"/>
  <c r="Q21" i="1"/>
  <c r="R36" i="2"/>
  <c r="J21" i="2"/>
  <c r="J14" i="2" s="1"/>
  <c r="I134" i="8"/>
  <c r="V35" i="2"/>
  <c r="R35" i="2"/>
  <c r="I24" i="2"/>
  <c r="H26" i="1" s="1"/>
  <c r="I40" i="2"/>
  <c r="N47" i="2"/>
  <c r="O47" i="2" s="1"/>
  <c r="N368" i="2"/>
  <c r="O368" i="2" s="1"/>
  <c r="N19" i="3"/>
  <c r="O19" i="3" s="1"/>
  <c r="N96" i="3"/>
  <c r="N126" i="3"/>
  <c r="N38" i="4"/>
  <c r="N13" i="8"/>
  <c r="O13" i="8" s="1"/>
  <c r="T14" i="8"/>
  <c r="H25" i="1"/>
  <c r="T199" i="8"/>
  <c r="T40" i="8"/>
  <c r="T48" i="8"/>
  <c r="T54" i="8"/>
  <c r="T61" i="8"/>
  <c r="L10" i="8"/>
  <c r="R10" i="8" s="1"/>
  <c r="R74" i="8"/>
  <c r="N24" i="8"/>
  <c r="O24" i="8" s="1"/>
  <c r="N188" i="8"/>
  <c r="N183" i="2"/>
  <c r="O183" i="2" s="1"/>
  <c r="I370" i="2"/>
  <c r="N55" i="3"/>
  <c r="N108" i="3"/>
  <c r="I18" i="8"/>
  <c r="I12" i="8" s="1"/>
  <c r="N229" i="8"/>
  <c r="N14" i="6"/>
  <c r="O14" i="6" s="1"/>
  <c r="N118" i="6"/>
  <c r="O118" i="6" s="1"/>
  <c r="T82" i="8"/>
  <c r="I24" i="8"/>
  <c r="I23" i="8" s="1"/>
  <c r="H30" i="1"/>
  <c r="T192" i="8"/>
  <c r="O66" i="9"/>
  <c r="N65" i="9"/>
  <c r="V43" i="2"/>
  <c r="R43" i="2"/>
  <c r="N192" i="2"/>
  <c r="O192" i="2" s="1"/>
  <c r="N204" i="2"/>
  <c r="O204" i="2" s="1"/>
  <c r="N339" i="2"/>
  <c r="O339" i="2" s="1"/>
  <c r="M71" i="1"/>
  <c r="N71" i="1" s="1"/>
  <c r="I20" i="2"/>
  <c r="H21" i="1"/>
  <c r="N385" i="2"/>
  <c r="O385" i="2" s="1"/>
  <c r="N403" i="2"/>
  <c r="O403" i="2" s="1"/>
  <c r="N49" i="3"/>
  <c r="N90" i="3"/>
  <c r="D99" i="1"/>
  <c r="I86" i="1"/>
  <c r="I89" i="1" s="1"/>
  <c r="O87" i="1"/>
  <c r="T111" i="8"/>
  <c r="T135" i="8"/>
  <c r="N195" i="8"/>
  <c r="N330" i="2"/>
  <c r="O330" i="2" s="1"/>
  <c r="N348" i="2"/>
  <c r="O348" i="2" s="1"/>
  <c r="I26" i="2"/>
  <c r="N120" i="3"/>
  <c r="N28" i="4"/>
  <c r="N13" i="7"/>
  <c r="O13" i="7" s="1"/>
  <c r="T189" i="8"/>
  <c r="T196" i="8"/>
  <c r="T74" i="8"/>
  <c r="J10" i="8"/>
  <c r="N40" i="2"/>
  <c r="O40" i="2" s="1"/>
  <c r="D35" i="2"/>
  <c r="N85" i="3"/>
  <c r="R65" i="2"/>
  <c r="N95" i="2"/>
  <c r="O95" i="2" s="1"/>
  <c r="I36" i="2"/>
  <c r="I35" i="2" s="1"/>
  <c r="N344" i="2"/>
  <c r="O344" i="2" s="1"/>
  <c r="I471" i="2"/>
  <c r="I470" i="2" s="1"/>
  <c r="N458" i="2"/>
  <c r="O458" i="2" s="1"/>
  <c r="N450" i="2"/>
  <c r="N16" i="3"/>
  <c r="O16" i="3" s="1"/>
  <c r="M62" i="1"/>
  <c r="N62" i="1" s="1"/>
  <c r="N79" i="3"/>
  <c r="N102" i="3"/>
  <c r="N138" i="3"/>
  <c r="I12" i="4"/>
  <c r="I18" i="7"/>
  <c r="N230" i="8"/>
  <c r="T231" i="8"/>
  <c r="N122" i="6"/>
  <c r="O122" i="6" s="1"/>
  <c r="I87" i="1"/>
  <c r="N30" i="6"/>
  <c r="N29" i="8"/>
  <c r="N11" i="8"/>
  <c r="O11" i="8" s="1"/>
  <c r="T34" i="8"/>
  <c r="T128" i="8"/>
  <c r="J11" i="8"/>
  <c r="U230" i="8"/>
  <c r="N36" i="2"/>
  <c r="O36" i="2" s="1"/>
  <c r="N153" i="2"/>
  <c r="O153" i="2" s="1"/>
  <c r="N162" i="2"/>
  <c r="O162" i="2" s="1"/>
  <c r="I33" i="2"/>
  <c r="I31" i="2" s="1"/>
  <c r="I47" i="2"/>
  <c r="I43" i="2" s="1"/>
  <c r="R421" i="2"/>
  <c r="R428" i="2"/>
  <c r="I21" i="3"/>
  <c r="I18" i="3" s="1"/>
  <c r="H71" i="1"/>
  <c r="H64" i="1" s="1"/>
  <c r="I16" i="3"/>
  <c r="I12" i="3" s="1"/>
  <c r="H62" i="1"/>
  <c r="N114" i="3"/>
  <c r="X17" i="4"/>
  <c r="X18" i="4" s="1"/>
  <c r="I11" i="8"/>
  <c r="H13" i="1" s="1"/>
  <c r="O86" i="1"/>
  <c r="N33" i="7"/>
  <c r="N10" i="8"/>
  <c r="O10" i="8" s="1"/>
  <c r="T16" i="8"/>
  <c r="T188" i="8"/>
  <c r="R12" i="8"/>
  <c r="I10" i="8"/>
  <c r="H12" i="1" s="1"/>
  <c r="N18" i="8"/>
  <c r="C35" i="1"/>
  <c r="N35" i="1" s="1"/>
  <c r="N13" i="3"/>
  <c r="O13" i="3" s="1"/>
  <c r="Y35" i="2"/>
  <c r="R81" i="2"/>
  <c r="N65" i="1" l="1"/>
  <c r="F52" i="1"/>
  <c r="P52" i="1" s="1"/>
  <c r="P62" i="1"/>
  <c r="N75" i="1"/>
  <c r="P15" i="1"/>
  <c r="T29" i="8"/>
  <c r="O29" i="8"/>
  <c r="T18" i="8"/>
  <c r="O18" i="8"/>
  <c r="O25" i="6"/>
  <c r="Q13" i="1"/>
  <c r="O30" i="6"/>
  <c r="Q467" i="2"/>
  <c r="O18" i="2"/>
  <c r="Q14" i="2"/>
  <c r="W35" i="2"/>
  <c r="N467" i="2"/>
  <c r="O467" i="2" s="1"/>
  <c r="O469" i="2"/>
  <c r="F100" i="1"/>
  <c r="F102" i="1" s="1"/>
  <c r="C64" i="1"/>
  <c r="N449" i="2"/>
  <c r="O449" i="2" s="1"/>
  <c r="O450" i="2"/>
  <c r="N470" i="2"/>
  <c r="O470" i="2" s="1"/>
  <c r="O471" i="2"/>
  <c r="J11" i="1"/>
  <c r="N25" i="2"/>
  <c r="O25" i="2" s="1"/>
  <c r="O26" i="2"/>
  <c r="O28" i="1"/>
  <c r="P28" i="1" s="1"/>
  <c r="O28" i="2"/>
  <c r="H51" i="1"/>
  <c r="H49" i="1" s="1"/>
  <c r="N12" i="2"/>
  <c r="O12" i="2" s="1"/>
  <c r="N105" i="6"/>
  <c r="F93" i="1"/>
  <c r="D14" i="1"/>
  <c r="K12" i="1"/>
  <c r="K11" i="1" s="1"/>
  <c r="N106" i="6"/>
  <c r="I13" i="1"/>
  <c r="R31" i="5"/>
  <c r="N31" i="5"/>
  <c r="O31" i="5" s="1"/>
  <c r="H74" i="1"/>
  <c r="J11" i="2"/>
  <c r="I12" i="1"/>
  <c r="I11" i="1" s="1"/>
  <c r="J103" i="6"/>
  <c r="N235" i="8"/>
  <c r="T236" i="8"/>
  <c r="I51" i="1"/>
  <c r="I49" i="1" s="1"/>
  <c r="H38" i="1"/>
  <c r="N13" i="2"/>
  <c r="R9" i="3"/>
  <c r="N10" i="3"/>
  <c r="O10" i="3" s="1"/>
  <c r="R11" i="9"/>
  <c r="Q12" i="1"/>
  <c r="O11" i="1"/>
  <c r="P11" i="1" s="1"/>
  <c r="Q49" i="1"/>
  <c r="H11" i="1"/>
  <c r="H15" i="1"/>
  <c r="H28" i="1"/>
  <c r="C27" i="1"/>
  <c r="N27" i="1" s="1"/>
  <c r="H22" i="1"/>
  <c r="M64" i="1"/>
  <c r="N64" i="1" s="1"/>
  <c r="Q62" i="1"/>
  <c r="Q52" i="1" s="1"/>
  <c r="J41" i="1"/>
  <c r="J78" i="1" s="1"/>
  <c r="C14" i="1"/>
  <c r="E100" i="1"/>
  <c r="E102" i="1" s="1"/>
  <c r="E40" i="1"/>
  <c r="G40" i="1"/>
  <c r="G77" i="1" s="1"/>
  <c r="L100" i="1"/>
  <c r="L40" i="1"/>
  <c r="L77" i="1" s="1"/>
  <c r="N15" i="2"/>
  <c r="O15" i="2" s="1"/>
  <c r="R467" i="2"/>
  <c r="R11" i="2"/>
  <c r="O22" i="1"/>
  <c r="P22" i="1" s="1"/>
  <c r="I22" i="1"/>
  <c r="I14" i="1" s="1"/>
  <c r="L78" i="1"/>
  <c r="I367" i="2"/>
  <c r="Q26" i="1"/>
  <c r="Q22" i="1" s="1"/>
  <c r="R21" i="2"/>
  <c r="Q31" i="1"/>
  <c r="R26" i="2"/>
  <c r="H86" i="1"/>
  <c r="E77" i="1"/>
  <c r="N11" i="6"/>
  <c r="O11" i="6" s="1"/>
  <c r="R10" i="6"/>
  <c r="Q74" i="1"/>
  <c r="R227" i="8"/>
  <c r="T195" i="8"/>
  <c r="I9" i="8"/>
  <c r="I99" i="1"/>
  <c r="Q15" i="1"/>
  <c r="J102" i="1"/>
  <c r="K77" i="1"/>
  <c r="K100" i="1"/>
  <c r="R15" i="2"/>
  <c r="N12" i="3"/>
  <c r="O12" i="3" s="1"/>
  <c r="H87" i="1"/>
  <c r="N12" i="4"/>
  <c r="H53" i="1"/>
  <c r="H52" i="1" s="1"/>
  <c r="I25" i="2"/>
  <c r="T230" i="8"/>
  <c r="M53" i="1"/>
  <c r="I15" i="2"/>
  <c r="J9" i="8"/>
  <c r="W12" i="4"/>
  <c r="O65" i="9"/>
  <c r="U188" i="8"/>
  <c r="N12" i="8"/>
  <c r="T13" i="8"/>
  <c r="N9" i="8"/>
  <c r="N35" i="2"/>
  <c r="N11" i="9"/>
  <c r="O11" i="9" s="1"/>
  <c r="N12" i="7"/>
  <c r="O12" i="7" s="1"/>
  <c r="G27" i="1"/>
  <c r="F27" i="1"/>
  <c r="F41" i="1" s="1"/>
  <c r="T134" i="8"/>
  <c r="N13" i="6"/>
  <c r="O13" i="6" s="1"/>
  <c r="N227" i="8"/>
  <c r="I21" i="2"/>
  <c r="N23" i="8"/>
  <c r="O23" i="8" s="1"/>
  <c r="T24" i="8"/>
  <c r="L9" i="8"/>
  <c r="N18" i="3"/>
  <c r="O18" i="3" s="1"/>
  <c r="N367" i="2"/>
  <c r="N43" i="2"/>
  <c r="M52" i="1" l="1"/>
  <c r="N52" i="1" s="1"/>
  <c r="N53" i="1"/>
  <c r="C40" i="1"/>
  <c r="N14" i="1"/>
  <c r="T12" i="8"/>
  <c r="O12" i="8"/>
  <c r="M51" i="1"/>
  <c r="O105" i="6"/>
  <c r="O106" i="6"/>
  <c r="H35" i="1"/>
  <c r="V467" i="2"/>
  <c r="O43" i="2"/>
  <c r="O35" i="2"/>
  <c r="O367" i="2"/>
  <c r="N11" i="2"/>
  <c r="O11" i="2" s="1"/>
  <c r="O13" i="2"/>
  <c r="U236" i="8"/>
  <c r="T235" i="8"/>
  <c r="N103" i="6"/>
  <c r="O103" i="6" s="1"/>
  <c r="D40" i="1"/>
  <c r="D77" i="1" s="1"/>
  <c r="D100" i="1"/>
  <c r="D102" i="1" s="1"/>
  <c r="N14" i="2"/>
  <c r="M13" i="1"/>
  <c r="N13" i="1" s="1"/>
  <c r="N9" i="3"/>
  <c r="O9" i="3" s="1"/>
  <c r="M12" i="1"/>
  <c r="Q11" i="1"/>
  <c r="I40" i="1"/>
  <c r="I77" i="1" s="1"/>
  <c r="G41" i="1"/>
  <c r="G78" i="1" s="1"/>
  <c r="C41" i="1"/>
  <c r="I100" i="1"/>
  <c r="I102" i="1" s="1"/>
  <c r="Q14" i="1"/>
  <c r="R25" i="2"/>
  <c r="V25" i="2"/>
  <c r="O14" i="1"/>
  <c r="Q28" i="1"/>
  <c r="Q27" i="1" s="1"/>
  <c r="Q41" i="1" s="1"/>
  <c r="O27" i="1"/>
  <c r="N10" i="6"/>
  <c r="O10" i="6" s="1"/>
  <c r="H27" i="1"/>
  <c r="R14" i="2"/>
  <c r="F94" i="1"/>
  <c r="F98" i="1" s="1"/>
  <c r="F78" i="1"/>
  <c r="H14" i="1"/>
  <c r="M86" i="1"/>
  <c r="M89" i="1" s="1"/>
  <c r="R9" i="8"/>
  <c r="T23" i="8"/>
  <c r="I14" i="2"/>
  <c r="M87" i="1"/>
  <c r="K99" i="1"/>
  <c r="K102" i="1" s="1"/>
  <c r="H89" i="1"/>
  <c r="M49" i="1" l="1"/>
  <c r="N49" i="1" s="1"/>
  <c r="N51" i="1"/>
  <c r="N12" i="1"/>
  <c r="M11" i="1"/>
  <c r="N11" i="1" s="1"/>
  <c r="O41" i="1"/>
  <c r="P41" i="1" s="1"/>
  <c r="P27" i="1"/>
  <c r="O40" i="1"/>
  <c r="P40" i="1" s="1"/>
  <c r="P14" i="1"/>
  <c r="C78" i="1"/>
  <c r="N41" i="1"/>
  <c r="C77" i="1"/>
  <c r="N40" i="1"/>
  <c r="O14" i="2"/>
  <c r="H41" i="1"/>
  <c r="H78" i="1" s="1"/>
  <c r="Q40" i="1"/>
  <c r="H40" i="1"/>
  <c r="H77" i="1" s="1"/>
  <c r="H100" i="1"/>
  <c r="O91" i="1"/>
  <c r="O92" i="1" s="1"/>
  <c r="L99" i="1"/>
  <c r="L102" i="1" s="1"/>
  <c r="H99" i="1"/>
  <c r="H102" i="1" l="1"/>
  <c r="M91" i="1"/>
  <c r="O78" i="1"/>
  <c r="P78" i="1" s="1"/>
  <c r="O77" i="1"/>
  <c r="P77" i="1" s="1"/>
  <c r="M92" i="1" l="1"/>
  <c r="Q78" i="1"/>
  <c r="Q77" i="1"/>
  <c r="M77" i="1"/>
  <c r="N77" i="1" s="1"/>
  <c r="M78" i="1"/>
  <c r="N78" i="1" s="1"/>
  <c r="N487" i="2" l="1"/>
  <c r="O487" i="2" s="1"/>
</calcChain>
</file>

<file path=xl/comments1.xml><?xml version="1.0" encoding="utf-8"?>
<comments xmlns="http://schemas.openxmlformats.org/spreadsheetml/2006/main">
  <authors>
    <author>WStachera</author>
    <author>Magdalena Szczerba</author>
  </authors>
  <commentList>
    <comment ref="G4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L4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P4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Q4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G73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L73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F13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G132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K13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L132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F144" authorId="0">
      <text>
        <r>
          <rPr>
            <b/>
            <sz val="8"/>
            <color indexed="81"/>
            <rFont val="Tahoma"/>
            <family val="2"/>
            <charset val="238"/>
          </rPr>
          <t>MSzczerba: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122.701 zł</t>
        </r>
      </text>
    </comment>
    <comment ref="G14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8.000 zł</t>
        </r>
      </text>
    </comment>
    <comment ref="K144" authorId="0">
      <text>
        <r>
          <rPr>
            <b/>
            <sz val="8"/>
            <color indexed="81"/>
            <rFont val="Tahoma"/>
            <family val="2"/>
            <charset val="238"/>
          </rPr>
          <t>MSzczerba: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122.701 zł</t>
        </r>
      </text>
    </comment>
    <comment ref="L14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8.000 zł</t>
        </r>
      </text>
    </comment>
  </commentList>
</comments>
</file>

<file path=xl/comments2.xml><?xml version="1.0" encoding="utf-8"?>
<comments xmlns="http://schemas.openxmlformats.org/spreadsheetml/2006/main">
  <authors>
    <author>WStachera</author>
  </authors>
  <commentList>
    <comment ref="B47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nowy projekt</t>
        </r>
      </text>
    </comment>
    <comment ref="B6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nowy projekt finansowany ze środków własnych</t>
        </r>
      </text>
    </comment>
    <comment ref="B6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nowy projekt finansowany ze środków własnych</t>
        </r>
      </text>
    </comment>
    <comment ref="B6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nowy projekt finansowany ze środków własnych</t>
        </r>
      </text>
    </comment>
  </commentList>
</comments>
</file>

<file path=xl/comments3.xml><?xml version="1.0" encoding="utf-8"?>
<comments xmlns="http://schemas.openxmlformats.org/spreadsheetml/2006/main">
  <authors>
    <author>WStachera</author>
  </authors>
  <commentList>
    <comment ref="B125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nowy projekt finansowany ze środków własnych</t>
        </r>
      </text>
    </comment>
    <comment ref="B12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nowy projekt finansowany ze środków własnych</t>
        </r>
      </text>
    </comment>
    <comment ref="B133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nowy projekt finansowany ze środków własnych</t>
        </r>
      </text>
    </comment>
    <comment ref="B137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nowy projekt finansowany ze środków własnych</t>
        </r>
      </text>
    </comment>
    <comment ref="B145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nowy projekt finansowany ze środków własnych</t>
        </r>
      </text>
    </comment>
    <comment ref="B153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nowy projekt finansowany ze środków własnych</t>
        </r>
      </text>
    </comment>
    <comment ref="B157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nowy projekt finansowany ze środków własnych</t>
        </r>
      </text>
    </comment>
    <comment ref="B16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nowy projekt finansowany ze środków własnych</t>
        </r>
      </text>
    </comment>
    <comment ref="B165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nowy projekt finansowany ze środków własnych</t>
        </r>
      </text>
    </comment>
    <comment ref="B16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nowy projekt finansowany ze środków własnych</t>
        </r>
      </text>
    </comment>
  </commentList>
</comments>
</file>

<file path=xl/comments4.xml><?xml version="1.0" encoding="utf-8"?>
<comments xmlns="http://schemas.openxmlformats.org/spreadsheetml/2006/main">
  <authors>
    <author>MSWiA</author>
    <author>WStachera</author>
  </authors>
  <commentList>
    <comment ref="F43" authorId="0">
      <text>
        <r>
          <rPr>
            <b/>
            <sz val="8"/>
            <color indexed="81"/>
            <rFont val="Tahoma"/>
            <family val="2"/>
            <charset val="238"/>
          </rPr>
          <t>MSWiA:</t>
        </r>
        <r>
          <rPr>
            <sz val="8"/>
            <color indexed="81"/>
            <rFont val="Tahoma"/>
            <family val="2"/>
            <charset val="238"/>
          </rPr>
          <t xml:space="preserve">
kwota ma wpłynąć jako refundacja wydatków poniesionych w latach ubiegłych na rozpoczecie realizacji projektów w ramach POIiŚ</t>
        </r>
      </text>
    </comment>
    <comment ref="F57" authorId="0">
      <text>
        <r>
          <rPr>
            <b/>
            <sz val="8"/>
            <color indexed="81"/>
            <rFont val="Tahoma"/>
            <family val="2"/>
            <charset val="238"/>
          </rPr>
          <t>MSWiA:</t>
        </r>
        <r>
          <rPr>
            <sz val="8"/>
            <color indexed="81"/>
            <rFont val="Tahoma"/>
            <family val="2"/>
            <charset val="238"/>
          </rPr>
          <t xml:space="preserve">
kwota ma wpłynąć jako refundacja wydatków poniesionych w latach ubiegłych na rozpoczecie realizacji projektów w ramach POIiŚ</t>
        </r>
      </text>
    </comment>
    <comment ref="E188" authorId="1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F188" authorId="1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J188" authorId="1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E203" authorId="1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F203" authorId="1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J203" authorId="1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K203" authorId="1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<sst xmlns="http://schemas.openxmlformats.org/spreadsheetml/2006/main" count="2408" uniqueCount="394">
  <si>
    <t>Planowana wartość kosztorysowa zadania / planowane dochody uzyskane na realizację zadania</t>
  </si>
  <si>
    <t>Lp.</t>
  </si>
  <si>
    <t>Wyszczególnienie</t>
  </si>
  <si>
    <t>Wydatki ogółem, z tego:</t>
  </si>
  <si>
    <t>środki z budżetu krajowego, z tego:</t>
  </si>
  <si>
    <t>środki z budżetu województwa</t>
  </si>
  <si>
    <t>dotacja z budżetu województwa dla jos</t>
  </si>
  <si>
    <t>środki własne jos (poza budżetem)</t>
  </si>
  <si>
    <t>dotacje celowe z budżetu państwa</t>
  </si>
  <si>
    <t xml:space="preserve">dotacje z budżetu państwa na zadania zlecone </t>
  </si>
  <si>
    <t>dotacje celowe od innych jst</t>
  </si>
  <si>
    <t>środki z funduszy</t>
  </si>
  <si>
    <t>dotacje z budżetu państwa - kontrakt wojewódzki</t>
  </si>
  <si>
    <t>środki z budżetu UE, z tego:</t>
  </si>
  <si>
    <t>środki z Unii Europejskiej</t>
  </si>
  <si>
    <t>dotacje celowe / płatności z UE</t>
  </si>
  <si>
    <t>dotacje celowe / płatności z UE (poza budżetem)</t>
  </si>
  <si>
    <t>Dochody ogółem, z tego:</t>
  </si>
  <si>
    <t xml:space="preserve">środki z budżetu krajowego, z tego: </t>
  </si>
  <si>
    <t>Wydatki z budżetu województwa  - razem</t>
  </si>
  <si>
    <t>Dochody budżetu województwa  - razem</t>
  </si>
  <si>
    <t>sprawdzenie                                                        wydatki</t>
  </si>
  <si>
    <t>dochody</t>
  </si>
  <si>
    <t>środki na wkład własny krajowy</t>
  </si>
  <si>
    <t>Dochody budżetu województwa - razem</t>
  </si>
  <si>
    <t>Wydatki z budżetu województwa ogółem</t>
  </si>
  <si>
    <t>Dochody budżetu województwa ogółem</t>
  </si>
  <si>
    <t>sprawdzenie</t>
  </si>
  <si>
    <t>sumy z podsumowania dziedzin</t>
  </si>
  <si>
    <t>suma pkt. 1 +pkt. 2</t>
  </si>
  <si>
    <t>Koncepcja obejścia m Gryfice w ciągu drogi woj. Nr 105 (zachodnie obejscie Gryfic  
w powiązaniu  z drogą  nr 110, drogami gminnymi i powiatowymi)</t>
  </si>
  <si>
    <t xml:space="preserve">Załącznik Nr 9A  </t>
  </si>
  <si>
    <t>Lp</t>
  </si>
  <si>
    <t>Nazwa zadania 
(Lokalizacja)</t>
  </si>
  <si>
    <t>Klasyfikacja budżetowa</t>
  </si>
  <si>
    <t xml:space="preserve">Jednostka organizacyjna odpowiedzialna
za realizację </t>
  </si>
  <si>
    <t xml:space="preserve">dotacje celowe z budżetu państwa </t>
  </si>
  <si>
    <t xml:space="preserve">środki z funduszy </t>
  </si>
  <si>
    <t>I</t>
  </si>
  <si>
    <t>PROJEKTY  REALIZOWANE  W  RAMACH  RPO  WZ</t>
  </si>
  <si>
    <t>1.</t>
  </si>
  <si>
    <t>rozdz. 60001</t>
  </si>
  <si>
    <t>rozdz. 75861</t>
  </si>
  <si>
    <t>2.</t>
  </si>
  <si>
    <t>KONTRAKT</t>
  </si>
  <si>
    <t>ZZDW / WIiT
w ramach RPO</t>
  </si>
  <si>
    <t>rozdz. 60013</t>
  </si>
  <si>
    <t>WZRPO / WIiT</t>
  </si>
  <si>
    <t>3.</t>
  </si>
  <si>
    <t>4.</t>
  </si>
  <si>
    <t xml:space="preserve">                </t>
  </si>
  <si>
    <t>5.</t>
  </si>
  <si>
    <t>6.</t>
  </si>
  <si>
    <t>7.</t>
  </si>
  <si>
    <t>8.</t>
  </si>
  <si>
    <t>Przebudowa drogi woj. nr 203 na odcinku Iwięcino - Darłowo w ramach Osi II RPO (2007-2014)</t>
  </si>
  <si>
    <t>9.</t>
  </si>
  <si>
    <t>rodz. 75861</t>
  </si>
  <si>
    <t>10.</t>
  </si>
  <si>
    <t>rodz. 75861 / 60013</t>
  </si>
  <si>
    <t>11.</t>
  </si>
  <si>
    <t>Przebudowa drogi woj. nr 142 na odcinku Krzywnica - Lisowo w ramach Osi II RPO (2008-2012)</t>
  </si>
  <si>
    <t>12.</t>
  </si>
  <si>
    <t>Przebudowa drogi woj. nr 177 na odcinku Sośnica - Mirosławiec w ramach Osi II RPO (2008-2012)</t>
  </si>
  <si>
    <t>13.</t>
  </si>
  <si>
    <t>14.</t>
  </si>
  <si>
    <t>dotacja celowa od innych jst</t>
  </si>
  <si>
    <t>15.</t>
  </si>
  <si>
    <t>Budowa obejścia w m. Gościno w ciągu drogi nr 162 w ramach Osi II RPO (2009-2013)</t>
  </si>
  <si>
    <t>16.</t>
  </si>
  <si>
    <t>17.</t>
  </si>
  <si>
    <t>Budowa obejścia m. Darłowo w ciągu drogi nr 203 w ramach Osi II RPO (2011-2013)</t>
  </si>
  <si>
    <t>18.</t>
  </si>
  <si>
    <t>19.</t>
  </si>
  <si>
    <t>Przebudowa drogi woj. nr 114 na odcinku Trzebież - Police w ramach Osi II RPO (2008-2013)</t>
  </si>
  <si>
    <t>20.</t>
  </si>
  <si>
    <t>Przebudowa drogi woj. nr 163 na odcinku Czaplinek - Wałcz w ramach Osi II RPO (2007-2013)</t>
  </si>
  <si>
    <t>21.</t>
  </si>
  <si>
    <t>Przebudowa drogi woj. nr 151 na odcinku Węgorzyno - Ińsko w ramach Osi II RPO (2007-2012)</t>
  </si>
  <si>
    <t>22.</t>
  </si>
  <si>
    <t>23.</t>
  </si>
  <si>
    <t>24.</t>
  </si>
  <si>
    <t>25.</t>
  </si>
  <si>
    <t>26.</t>
  </si>
  <si>
    <t>27.</t>
  </si>
  <si>
    <t>Przebudowa przejścia przez m. Sławoborze w ciągu drogi nr 162 w ramach Osi II RPO (2007-2012)</t>
  </si>
  <si>
    <t>28.</t>
  </si>
  <si>
    <t>Budowa obejścia m. Trzebiatów - połączenie dróg nr 109 i 103 w ramach Osi II RPO (2010-2012)</t>
  </si>
  <si>
    <t>29.</t>
  </si>
  <si>
    <t>30.</t>
  </si>
  <si>
    <t>Modernizacja kolejowego taboru pasażerskiego o napędzie elektrycznym w ramach Osi II RPO (2013-2014)</t>
  </si>
  <si>
    <t>II</t>
  </si>
  <si>
    <t>PROJEKTY  REALIZOWANE  W  RAMACH  IW  INTERREG IV A</t>
  </si>
  <si>
    <t>środki z budżetu UE, w tego:</t>
  </si>
  <si>
    <t>Przebudowa i rozbudowa przejścia drogowego przez m. Pilchowo na drodze woj. nr 115  (2010)</t>
  </si>
  <si>
    <t>ZZDW / w ramach INTERREG IV A</t>
  </si>
  <si>
    <t>31.</t>
  </si>
  <si>
    <t>x</t>
  </si>
  <si>
    <t>32.</t>
  </si>
  <si>
    <t>fundusze pomocowe (refundacja)</t>
  </si>
  <si>
    <t>Przebudowa i rozbudowa przejścia drogowego przez m. Gryfino na drodze woj. Nr 120 w ramach IW INTERREG IV A (2011-2012)</t>
  </si>
  <si>
    <t>Zadanie zostało przeniesione do części III POZOSTAŁE PROJEKTY INWESTYCYJNE (poz.44.)</t>
  </si>
  <si>
    <t>III</t>
  </si>
  <si>
    <t>PROJEKTY  REALIZOWANE  W  RAMACH PROGRAMU  OPERACYJNEGO INFRASTRUKTURA I ŚRODOWISKO</t>
  </si>
  <si>
    <t>WIiT 
w ramach
 POiŚ</t>
  </si>
  <si>
    <t>środki z funduszy celowych</t>
  </si>
  <si>
    <t xml:space="preserve">dotacje celowe z budzetu państwa </t>
  </si>
  <si>
    <t>33.</t>
  </si>
  <si>
    <t>Zakup elektrycznych zespołów trakcyjnych w ramach PO Infrastruktura i Środowisko (2013-2015)</t>
  </si>
  <si>
    <t>WIiT</t>
  </si>
  <si>
    <t>rozdz. 
60003</t>
  </si>
  <si>
    <t>środki z funduszy celowych - Fundusz Kolejowy</t>
  </si>
  <si>
    <t>rozdz. 
60001</t>
  </si>
  <si>
    <t>IV</t>
  </si>
  <si>
    <t>34.</t>
  </si>
  <si>
    <t>WIT</t>
  </si>
  <si>
    <t>Zakup taboru kolejowego do przewozów regionalnych (2012-2013)</t>
  </si>
  <si>
    <t>Przebudowa mostu zwodzonego w Dziwnowie w ciągu drogi nr 102 (2010-2012)</t>
  </si>
  <si>
    <t>ZZDW w Koszalinie</t>
  </si>
  <si>
    <t>rozdz. 60095</t>
  </si>
  <si>
    <t>Dokumentacje techniczne na zadania drogowe (2011-2016)</t>
  </si>
  <si>
    <t>Wydział Rozwoju Regionalnego</t>
  </si>
  <si>
    <t>Przebudowa dróg wojewódzkich (2011-2012)</t>
  </si>
  <si>
    <t>Wypłata odszkodowań pod planowane inwestycje drogowe (2012-2013)</t>
  </si>
  <si>
    <t>Poprawienie zewnętrznej i wewnętrznej dostępności obszaru Europy Środkowej w ramach działania 2.1  Programu dla Europy Środkowej  - EWT (2008-2012)</t>
  </si>
  <si>
    <t>rodz. 60095</t>
  </si>
  <si>
    <t>3</t>
  </si>
  <si>
    <t>4</t>
  </si>
  <si>
    <t>Doradca zawodowy i pośrednik pracy w standardach unijnych w ramach działania 6.1. PO KL (2008-2012)</t>
  </si>
  <si>
    <t xml:space="preserve">Zadanie o nakładach zrealizowanych do końca 2010 r. w kwocie 7.147.888 zł zostało wyjęte z WPF a w jego miesce wprowadzono nowe zadanie pn."Pramida kompetencji" </t>
  </si>
  <si>
    <t>Wojewódzki Urząd Pracy w Szczecinie</t>
  </si>
  <si>
    <t>rozdz. 85395</t>
  </si>
  <si>
    <t>rozdz. 75862</t>
  </si>
  <si>
    <t>Profesjonalne kadry - lepsze jutro w ramach działania 7.1 PO KL (2007-2013)</t>
  </si>
  <si>
    <t>Regionalny Ośrodek Polityki Społecznej</t>
  </si>
  <si>
    <t>rodz. 
75862</t>
  </si>
  <si>
    <t>Profesjonalne kadry - lepsze jutro II w ramach działania 7.1 PO KL (2007-2013)</t>
  </si>
  <si>
    <t>rozdz. 
85395</t>
  </si>
  <si>
    <t>rozdz. 
75862</t>
  </si>
  <si>
    <t>Koordynacja na rzecz aktywnej integracji w ramach działania 1.2 PO KL (2011-2013)</t>
  </si>
  <si>
    <t>rozdz. 75071</t>
  </si>
  <si>
    <t>rodz.
 75071</t>
  </si>
  <si>
    <t>Z korzyścią dla regionu. Rozwój Ekonomii Społecznej w ramach działania 7.2 PO KL (2009-2012)</t>
  </si>
  <si>
    <t>rodz.
 75862</t>
  </si>
  <si>
    <t>rozdz. 15013</t>
  </si>
  <si>
    <t>Inwestycja w wiedzę motorem rozwoju innowacyjności w regionie w ramach działania 8.2 PO KL (2008-2013)</t>
  </si>
  <si>
    <t>Zachodniopomorskie talenty - regionalny system stypendialny w ramach działania 9.1 PO KL (2009-2013)</t>
  </si>
  <si>
    <t>rozdz.
75862</t>
  </si>
  <si>
    <t>rozdz. 85332</t>
  </si>
  <si>
    <t>rodz. 
85332</t>
  </si>
  <si>
    <t>Projekt pn. "Rozwój sieci centrów obsługi inwestorów i eksporterów" w ramach PO Innowacyjna Gospodarka, Priorytetu VI, Działania 6.2. (2010-2015)</t>
  </si>
  <si>
    <t>Centrum Obsługi Inwestorów i Eksporterów</t>
  </si>
  <si>
    <t>rozdz. 15011</t>
  </si>
  <si>
    <t>rodz. 
15011</t>
  </si>
  <si>
    <t>Wzrost atrakcyjności inwestycyjnej Województwa Zachodniopomorskiego - Promocja walorów inwestycyjnych Województwa Zachodniopomorskiego  - etap I i II  w ramach osi I RPO  (2012-2014)</t>
  </si>
  <si>
    <t>Misje eksportowe - etap I i II w ramach osi I RPO (2012-2014)</t>
  </si>
  <si>
    <t>Załącznik Nr 3C</t>
  </si>
  <si>
    <t>dotacje celowe od innych jst (pomoc finansowa i porozumienia)</t>
  </si>
  <si>
    <t>Centrum Zabiegowe z zapleczem łóżkowym w Szpitalu Wojewódzkim w Szczecinie w ramach osi VII RPO (2008-2013)</t>
  </si>
  <si>
    <t xml:space="preserve">Wojewódzki Szpital Zespolony w Szczecinie 
</t>
  </si>
  <si>
    <t>rozdz. 85111</t>
  </si>
  <si>
    <t>środki własne jos</t>
  </si>
  <si>
    <t>X</t>
  </si>
  <si>
    <t>Rozbudowa części środkowej budynku głównego wraz z dostosowaniem oddziałów chirurgicznych do wymogów fachowo-sanitarnych  w Specjalistycznym Szpitalu im. A.Sokołowskiego w Szczecinie-Zdunowie w ramach osi VII RPO (2006-2012)</t>
  </si>
  <si>
    <t xml:space="preserve">Specjalistyczny Szpital im. A. Sokołowskiego 
w Szczecinie - Zdunowo 
</t>
  </si>
  <si>
    <t>dotacja z budżetu wojewodztwa dla jos</t>
  </si>
  <si>
    <t>Rozbudowa Szpitala Dziecięcego SPS ZOZ "Zdroje" w Szczecinie - utworzenie Zachodniopomorskiego Centrum Opieki Nad Kobietą i Dzieckiem (2009-2014)</t>
  </si>
  <si>
    <t xml:space="preserve">SPS ZOZ ZDROJE Szczecin 
</t>
  </si>
  <si>
    <t>Załącznik Nr  3D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</si>
  <si>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</si>
  <si>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</si>
  <si>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80130
85410</t>
  </si>
  <si>
    <t>Opracowanie projektu i modernizacja obiektu przy ul. J. Sowińskiego 68 w Szczecinie w zakresie montażu klimatyzacji (2011-2012)</t>
  </si>
  <si>
    <t>Zachodniopomorskie Centrum Doskonalenia Nauczycieli - nadzór WEiS</t>
  </si>
  <si>
    <t>rozdz. 80146</t>
  </si>
  <si>
    <t>Załącznik Nr 3E</t>
  </si>
  <si>
    <t>Klasyfikacja budże towa</t>
  </si>
  <si>
    <t>rozdz. 75018</t>
  </si>
  <si>
    <t>Konsolidacja Urzędu Marszałkowskiego Województwa Zachodniopomorskiego w jednej siedzibie I etap (2011 - 2012)</t>
  </si>
  <si>
    <t>Wydział Administracyjny</t>
  </si>
  <si>
    <t>rozdz. 70018</t>
  </si>
  <si>
    <t>Adaptacja poddasza na potrzeby biurowe w budynku położonym w Szczecinie przy ul.Szafera 10 (2010-2012)</t>
  </si>
  <si>
    <t>Wydział Inwestycji i Nieruchomości</t>
  </si>
  <si>
    <t>rozdz. 70005</t>
  </si>
  <si>
    <t>Gospodarowanie nieruchomościami należącymi do zasobu Województwa Zachodniopomorskiego (2010-2012)</t>
  </si>
  <si>
    <t>e-Administracja i e-Turystyka w województwie zachodniopomorskim (2011-2013) w ramach działania 3.2 Osi III RPO WZ</t>
  </si>
  <si>
    <t>Wydział Społeczeństwa Informacyjnego i Informatyki</t>
  </si>
  <si>
    <t>rozdz. 60052</t>
  </si>
  <si>
    <t>Adaptacja II piętra w budynku położonym w Szczecinie przy ul. Sokołowskiego na lokale mieszkalne (2011-2012)</t>
  </si>
  <si>
    <t>Główny Punkt Informacyjny Funduszy Europejskich (GPI) przy ul.Kuśnierskiej 12b w ramach PO Pomoc Techniczna  (2009-2015)</t>
  </si>
  <si>
    <t>Wydział Zarządzania RPO</t>
  </si>
  <si>
    <t>Kompleksowy program wspierania kluczowych obszarów funkcjonowania i kompetencji kadr Urzędu Marszałkowskiego Województwa Zachodniopomorskiego w ramach działania 5.2.PO KL   (2010-2012)</t>
  </si>
  <si>
    <t>Wydział Organizacji i Rozwoju Zasobów Ludzkich</t>
  </si>
  <si>
    <t xml:space="preserve">Projekty w ramach Pomocy technicznej - Oś VIII RPO WZ (2007-2015) </t>
  </si>
  <si>
    <t>Wydział Zarządzania RPO , Wydział Wdrażania RPO</t>
  </si>
  <si>
    <t>Pomoc Techniczna w ramach  Programu Współpraca Transgraniczna INTERREG IVA - EWT (2011-2013)</t>
  </si>
  <si>
    <t>Wydział Współpracy Międzynarodowej</t>
  </si>
  <si>
    <t xml:space="preserve">dotacje z budżetu województwa dla jos </t>
  </si>
  <si>
    <t>środki budżetu województwa (np. zwrot podatku VAT)</t>
  </si>
  <si>
    <t>Rozbudowa Muzeum Narodowego w Szczecinie - Muzeum Morskie (2011-2013)</t>
  </si>
  <si>
    <t>Muzeum Narodowe 
w Szczecinie - nadzór WKNiDN</t>
  </si>
  <si>
    <t>rozdz. 92118</t>
  </si>
  <si>
    <t>Budowa pawilonu wystawowego służącego celom Centrum Dialogu Przełomy w ramach RPO WZ, Osi VI: Rozwój funkcji Metropolitarnych (2009-2014)</t>
  </si>
  <si>
    <t>Muzeum Narodowe
 w Szczecinie - nadzór WKNiDN</t>
  </si>
  <si>
    <t>Przebudowa Opery na Zamku w Szczecinie w ramach RPO WZ. Osi V: Rozwój Funkcji Metropolitarnych (2009-2013)</t>
  </si>
  <si>
    <t>Opera na Zamku 
w Szczecinie - nadzór WKNiDN</t>
  </si>
  <si>
    <t>rozdz. 92106</t>
  </si>
  <si>
    <t>Zakup i budowa hali strukturalnej z przeznaczeniem na tymczasową siedzibę Opery na Zamku w Szczecinie (2010 - 2012)</t>
  </si>
  <si>
    <t>Rozbudowa Teatru Polskiego w Szczecinie 
(2011 - 2013)</t>
  </si>
  <si>
    <t>Teatr Polski w Szczecinie - nadzór WKNiDN</t>
  </si>
  <si>
    <t>Modernizacja skrzydła północnego Zamku Książąt Pomorskich w Szczecinie w ramach RPO WZ, Osi VI: Rozwój funkcji Metropolitarnych (2012 - 2014)</t>
  </si>
  <si>
    <t>Zamek Książąt Pomorskich 
 w Szczecinie - nadzór WKNiDN</t>
  </si>
  <si>
    <t>rozdz. 92109</t>
  </si>
  <si>
    <t xml:space="preserve">I PRZEDSIĘWZIĘCIA  FINANSOWANE PRZY WSPÓŁUDZIALE ŚRODKÓW, O KTÓRYCH MOWA W ART. 5 UST. 1 PKT. 2 I 3 UFP W ZAKRESIE ROLNICTWA I OCHRONY ŚRODOWISKA </t>
  </si>
  <si>
    <t>WYKONANIE</t>
  </si>
  <si>
    <t>Wielkość nakładów poniesiona do końca 2011 r. / uzyskanych dochodów</t>
  </si>
  <si>
    <t>Zrealizowane nakłady / dochody w 2012 roku</t>
  </si>
  <si>
    <t>Wykonanie od początku realizacji do 31.03.2013 r.</t>
  </si>
  <si>
    <t>Wykonanie na 31.03.2013</t>
  </si>
  <si>
    <t>Odchylenie wykonania od planu za I kwartał 2013 r. (kol. )</t>
  </si>
  <si>
    <t>WYDATKI Z BUDŻETU OGÓŁEM, z tego:</t>
  </si>
  <si>
    <t xml:space="preserve"> - wydatki bieżące</t>
  </si>
  <si>
    <t xml:space="preserve"> - wydatki majątkowe</t>
  </si>
  <si>
    <t xml:space="preserve">środki na wkład własny krajowy </t>
  </si>
  <si>
    <t>Zabezpieczenie przeciwpowodziowe doliny rzeki Regi ze szczególnym uwzględnieniem m. Trzebiatów (2010-2013), w ramach PO IiŚ, Priorytetu III, Działania 3.1.</t>
  </si>
  <si>
    <t>MAJĄTKOWE</t>
  </si>
  <si>
    <t xml:space="preserve">Zachodniopomorski Zarząd Melioracji i Urządzeń Wodnych pod nadzorem Wydziału Rolnictwa i Rybactwa
</t>
  </si>
  <si>
    <t>rozdz. 01008</t>
  </si>
  <si>
    <t>Zabezpieczenie przeciwpowodziowe doliny rzeki Parsęty poniżej m. Osówko, w tym m. Kołobrzegu, Karlina i Białogardu (2010-2013), w ramach PO IiŚ, Priorytetu III, Działania 3.1.</t>
  </si>
  <si>
    <t xml:space="preserve">Przepławki dla ryb  w ramach Programu Operacyjnego "Zrównoważony rozwój sektora rybołówstwa i nadbrzeżnych obszarów rybackich", Środka - Ochrona i rozwój fauny i flory wodnej, Osi priorytetowej 3 - Środki służące wspólnemu interesowi </t>
  </si>
  <si>
    <t>Zachodniopomorski Zarząd Melioracji i Urządzeń Wodnych pod nadzorem Wydziału Rolnictwa i Rybactwa</t>
  </si>
  <si>
    <t>rozdz. 05011</t>
  </si>
  <si>
    <t>Pomoc Techniczna Programu Operacyjnego „Zrównoważony rozwój sektora rybołówstwa i nadbrzeżnych obszarów rybackich 2007-2013 - Oś 5</t>
  </si>
  <si>
    <t>BIEŻĄCE</t>
  </si>
  <si>
    <t xml:space="preserve">Wydział Rolnictwa i Rybactwa
</t>
  </si>
  <si>
    <t>Pomoc Techniczna Programu Operacyjnego „Zrównoważony rozwój sektora rybołówstwa i nadbrzeżnych obszarów rybackich 2007-2013 - Oś 5 - zakupy inwestycyjne</t>
  </si>
  <si>
    <t>Budowa niebieskiego korytarza ekologicznego wzdłuż doliny rzeki Iny i jej dopływów w ramach Instrumentu Finansowego LIFE+ (2011-2016)</t>
  </si>
  <si>
    <t>Budowa niebieskiego korytarza ekologicznego wzdłuż doliny rzeki Regi i jej dopływów w ramach Instrumentu Finansowego LIFE+ (2011-2016)</t>
  </si>
  <si>
    <t>Poprawianie i rozwijanie infrastruktury związanej rozwojem i dostosowaniem rolnictwa i leśnictwa (2009-2013), w ramach PROW, Osi 1, Działania 125</t>
  </si>
  <si>
    <t>Ochrona  gruntów rolnych - zadanie  polegające na dofinansowywaniu, w formie dotacji celowych, gminom i powiatom budowy i modernizacji dróg dojazdowych do gruntów leśnych oraz zakupu sprzętu informatycznego (2011-2016)</t>
  </si>
  <si>
    <t>Wydział Rolnictwa i Rybactwa</t>
  </si>
  <si>
    <t>rozdz. 01095</t>
  </si>
  <si>
    <t>Likwidacja mogilników zawierających przeterminowane środki ochrony roślin znajdujących się na terenie województwa zachodniopomorskiego (2010 r.)</t>
  </si>
  <si>
    <t xml:space="preserve">WRiOŚ </t>
  </si>
  <si>
    <t>rozdz. 90002</t>
  </si>
  <si>
    <t xml:space="preserve">Przepławki dla ryb  (2010-2014) w ramach Programu Operacyjnego "Zrównoważony rozwój sektora rybołówstwa i nadbrzeżnych obszarów rybackich", Środka - Ochrona i rozwój fauny i flory wodnej, Osi priorytetowej 3 - Środki służące wspólnemu interesowi </t>
  </si>
  <si>
    <t xml:space="preserve">Zachodniopomorski Zarząd Melioracji i Urządzeń Wodnych pod nadzorem Wydziału Rolnictwa i Ochrony Środowiska 
</t>
  </si>
  <si>
    <t>Poprawianie i rozwijanie infrastruktury związanej rozwojem i dostosowaniem rolnictwa i leśnictwa (2009-2014), w ramach PROW, Osi 1, Działania 125</t>
  </si>
  <si>
    <t>ZZMiUW / WRiOŚ 
w ramach PROW</t>
  </si>
  <si>
    <t>Pomoc Techniczna (2007-2013), w ramach PROW, Schematu I, III i III</t>
  </si>
  <si>
    <t xml:space="preserve">Wydział  Programów Rozwoju Obszarów Wiejskich 
</t>
  </si>
  <si>
    <t>rozdz. 01041</t>
  </si>
  <si>
    <t>Pomoc Techniczna (2007-2013), w ramach PROW, Schematu I, III i III - zakupy inwestycyjne</t>
  </si>
  <si>
    <t>Higiena i bezpieczeństwo żywności w regionie Morza Bałtyckiego - Focus on Food w ramach Współpracy Transgranicznej Południowy Bałtyk - EWT (2011-2013)</t>
  </si>
  <si>
    <t>rozdz.
75095</t>
  </si>
  <si>
    <t>rozdz. 75095</t>
  </si>
  <si>
    <t xml:space="preserve">II. POZOSTAŁE PRZEDSIĘWZIĘCIA W ZAKRESIE ROLNICTWA I OCHRONY ŚRODOWISKA </t>
  </si>
  <si>
    <t>Likwidacja mogilników zawierających przeterminowane środki ochrony roślin znajdujących się na terenie województwa zachodniopomorskiego (2010-2011)</t>
  </si>
  <si>
    <t>Wydział Ochrony Środowiska</t>
  </si>
  <si>
    <t>Zbiornik retencyjny na rzece Dzierżęcince (2012-2013)</t>
  </si>
  <si>
    <t>I PRZEDSIĘWZIĘCIA  FINANSOWANE PRZY WSPÓŁUDZIALE ŚRODKÓW, O KTÓRYCH MOWA W ART. 5 UST. 1 PKT. 2 I 3 UFP  W ZAKRESIE KULTURY FIZYCZNEJ I TURYSTYKI</t>
  </si>
  <si>
    <t>"Rewitalizacja europejskiego szlaku kulturowego na obszarze Południowego Bałtyku - Pomorski Szlak św. Jakuba" w ramach Programu Współpracy Transgranicznej Południowy Bałtyk - EWT (2011-2013)</t>
  </si>
  <si>
    <t>Wydział Turystyki Gospodarki i Promocji</t>
  </si>
  <si>
    <t>rozdz.        63003</t>
  </si>
  <si>
    <t>rozdz. 
63003</t>
  </si>
  <si>
    <t>"MARRIAGE - Lepsze zarządzanie mariną, konsolidacja sieci przystani i marketingu turystyki wodnej w obszarze Południowego Bałtyku" w ramach Programu Współpracy Transgranicznej Południowy Bałtyk - EWT (2012-2014)</t>
  </si>
  <si>
    <t>"Zachodniopomorskie - Morze Przygody. Promocja turystyczna Województwa Zachodniopomorskiego" w ramach RPO WZ, Osi 5 (2012-2014)</t>
  </si>
  <si>
    <t>rozdz. 
75861</t>
  </si>
  <si>
    <t>"Zachodniopomorskie - Morze Przygody. Promocja turystyczna Województwa Zachodniopomorskiego i Szczecińskiego Obszaru Metropolitarnego" w ramach RPO WZ, Osi 6 (2012-2014)</t>
  </si>
  <si>
    <t>"Zachodniopomorskie - Morze Przygody. Promocja turystyczna Województwa Zachodniopomorskiego i Szczecińskiego Obszaru Metropolitarnego" w ramach RPO WZ, Osi 6 - zakupy inwestycyjne (2012-2014)</t>
  </si>
  <si>
    <t>II. POZOSTAŁE PRZEDSIĘWZIĘCIA W ZAKRESIE KULTURY FIZYCZNEJ  I TURYSTYKI</t>
  </si>
  <si>
    <t>Program "Moje boisko Orlik 2011" (2008-2011)</t>
  </si>
  <si>
    <t>Wydział Edukacji i Sportu</t>
  </si>
  <si>
    <t>rozdz.        92601</t>
  </si>
  <si>
    <t>I. PRZEDSIĘWZIĘCIA  FINANSOWANE PRZY WSPÓŁUDZIALE ŚRODKÓW, O KTÓRYCH MOWA W ART. 5 UST. 1 PKT. 2 I 3 UFP W ZAKRESIE PLANOWANIA PRZESTRZENNEGO</t>
  </si>
  <si>
    <t>Projekt pn. "Partnerstwo miejsko - wiejskie w obszarach metropolitarnych  - URMA" w ramach programu INTERREG IVC (2011-2015)</t>
  </si>
  <si>
    <t>Regionalne Biuro Gospodarki Przestrzennej Województwa Zachodniopomorskiego w Szczecinie pod nadzorem Wydziału Rozwoju Regionalnego</t>
  </si>
  <si>
    <t>rozdz.        71003</t>
  </si>
  <si>
    <t>rozdz. 
71003</t>
  </si>
  <si>
    <t xml:space="preserve">POZOSTAŁE PRZEDSIĘWZIĘCIA W ZAKRESIE KULTURY I OCHRONY DZIEDZICTWA NARODOWEGO </t>
  </si>
  <si>
    <t xml:space="preserve">MAJĄTKOWE </t>
  </si>
  <si>
    <t xml:space="preserve">I. PRZEDSIĘWZIĘCIA  FINANSOWANE PRZY WSPÓŁUDZIALE ŚRODKÓW, O KTÓRYCH MOWA W ART. 5 UST. 1 PKT. 2 I 3 UFP  W ZAKRESIE ADMINISTRACJI I  TELEKOMUNIKACJI </t>
  </si>
  <si>
    <t>Główny Punkt Informacyjny Funduszy Europejskich (GPI) przy ul.Kuśnierskiej 12b w ramach PO Pomoc Techniczna - zakupy inwestycyjne (2009-2015)</t>
  </si>
  <si>
    <t>Kompleksowy program wspierania kluczowych obszarów funkcjonowania i kompetencji kadr Urzędu Marszałkowskiego Województwa Zachodniopomorskiego w ramach działania 5.2.PO KL - zakupy inwestycyjne(2010-2012)</t>
  </si>
  <si>
    <t>Usługi telefonii komórkowej (2012 - 2016)</t>
  </si>
  <si>
    <t>Usługi telefonii stacjonarnej (2012 - 2016)</t>
  </si>
  <si>
    <t>Usługi ochrony (2013 - 2016)</t>
  </si>
  <si>
    <t>Ubezpieczenie mienia i OC (2012 - 2016)</t>
  </si>
  <si>
    <t>Najem pomieszczeń biurowych (2012  - 2016)</t>
  </si>
  <si>
    <t>Świadczenie usług prawniczych (2013 - 2016)</t>
  </si>
  <si>
    <t>Pozostałe umowy (2012 - 2016)</t>
  </si>
  <si>
    <t>I. PRZEDSIĘWZIĘCIA  FINANSOWANE PRZY WSPÓŁUDZIALE ŚRODKÓW, O KTÓRYCH MOWA W ART. 5 UST. 1 PKT. 2 I 3 UFP  W ZAKRESIE OŚWIATY I EDUKACYJNEJ OPIEKI WYCHOWAWCZEJ</t>
  </si>
  <si>
    <t>II. PRZEDSIĘWZIĘCIA POZOSTAŁE W ZAKRESIE OŚWIATY I EDUKACYJNEJ OPIEKI WYCHOWAWCZEJ</t>
  </si>
  <si>
    <t>Projekt pn."Lider Zachodniopomorski" w ramach Programu "Młodzież w działaniu", Akcja 5.1. - Spotkania młodzieży i osób odpowiedzialnych za politykę młodzieżową</t>
  </si>
  <si>
    <t xml:space="preserve">
Sekretariat ds.Młodzieży Województwa Zachodnio - pomorskiego </t>
  </si>
  <si>
    <t>Projekt pn. "Akademia Zmienia Szczecin - Modernizacja Pałacu pod Globusem" w ramach RPO WZ, Osi VI: Rozwój Funkcji Metropolitarnych (2012-2014)</t>
  </si>
  <si>
    <t>dotacja z budżetu państwa (poza budżetem)</t>
  </si>
  <si>
    <t>rozdz. 80395</t>
  </si>
  <si>
    <t>Akademia Sztuki             w Szczecinie pod nadzorem Wydziału Edukacji  i Sportu</t>
  </si>
  <si>
    <t>dotacja z budżetu województwa</t>
  </si>
  <si>
    <t>środki z budżetu województwa (zwrot podatku VAT)</t>
  </si>
  <si>
    <t xml:space="preserve">POZOSTAŁE PRZEDSIĘWZIĘCIA W ZAKRESIE OCHRONY ZDROWIA </t>
  </si>
  <si>
    <t>Wydział Zdrowia</t>
  </si>
  <si>
    <t>środki z budzetu wojeództwa</t>
  </si>
  <si>
    <t>Prognozowane nakłady / dochody z tytułu realizacji projektów
w latach 2014-2017 i latach następnych</t>
  </si>
  <si>
    <t>I. PRZEDSIĘWZIĘCIA  FINANSOWANE PRZY WSPÓŁUDZIALE ŚRODKÓW, O KTÓRYCH MOWA W ART. 5 UST. 1 PKT. 2 I 3 UFP  W ZAKRESIE POLITYKI  SPOŁECZNEJ  I  ROZWOJU  PRZEDSIĘBIORCZOŚCI</t>
  </si>
  <si>
    <t>Piramida kompetencji w ramach działania 6.1. PO KL (2008-2013)</t>
  </si>
  <si>
    <t>Piramida kompetencji - II edycja w ramach działania 6.1. PO KL (2013-2014)</t>
  </si>
  <si>
    <t>Plan na 2013 r. wg wg stanu na dzień 31.03.2013 r.</t>
  </si>
  <si>
    <t>Priorytet: X. Pomoc Techniczna w ramach  PO KL - zakupy inwestycyjne (2007-2013)</t>
  </si>
  <si>
    <t>I. PRZEDSIĘWZIĘCIA  FINANSOWANE PRZY WSPÓŁUDZIALE ŚRODKÓW, O KTÓRYCH MOWA W ART. 5 UST. 1 PKT. 2 I 3 UFP  W ZAKRESIE TRANSPORTU I ŁĄCZNOŚCI</t>
  </si>
  <si>
    <t>PROJEKTY REALIZOWANE W RAMACH PROGRAMU DLA EUROPY ŚRODKOWEJ</t>
  </si>
  <si>
    <t>II. POZOSTAŁE  PRZEDSIĘWZIĘCIA W ZAKRESIE TRANSPORTU I ŁĄCZNOŚCI</t>
  </si>
  <si>
    <t>Pozostałe zadania z zakresu transportu - ubezpieczenie taboru kolejowego Województwa (2011-2016)</t>
  </si>
  <si>
    <t>Dofinansowanie kolejowych przewozów pasażerskich (2013-2016)</t>
  </si>
  <si>
    <t>Opracowanie planu transportowego Województwa Zachodniopomorskiego (2013-2014)</t>
  </si>
  <si>
    <t>Zimowe utrzymanie dróg (2011-2016)</t>
  </si>
  <si>
    <t>Obsługa i utrzymanie mostów zwodzonych i mostu granicznego (2011-2016)</t>
  </si>
  <si>
    <t>dotacja z budżetu województwa (m.in. dla jos)</t>
  </si>
  <si>
    <t>dotacje celowe z budżetu państwa (poza budżetem)</t>
  </si>
  <si>
    <t>środki  budżetu województwa (zwrot podatku VAT)</t>
  </si>
  <si>
    <t xml:space="preserve">Projekty w ramach Pomocy technicznej - Oś VIII RPO WZ - wydatki inwestycyjne  (2007-2015) </t>
  </si>
  <si>
    <t>Priorytet: X. Pomoc Techniczna w ramach  PO KL (2007-2015)</t>
  </si>
  <si>
    <t>Priorytet: X. Pomoc Techniczna - środki w ramach działania ROEFS w ramach PO KL (2008-2014)</t>
  </si>
  <si>
    <t>suma</t>
  </si>
  <si>
    <t>Przebudowa drogi woj. nr 124 na odcinku Cedynia - Chojna w ramach Osi II RPO (2008-2013)</t>
  </si>
  <si>
    <t>Przebudowa drogi woj. nr 205 na odcinku Krupy - Sławno w ramach Osi II RPO (2008-2013)</t>
  </si>
  <si>
    <t>Przebudowa drogi woj. nr 106 na odcinku Rzewnowo - Golczewo w ramach Osi II RPO (2008-2013)</t>
  </si>
  <si>
    <t>Przebudowa drogi woj. nr 203 na odcinku Koszalin - Iwięcino w ramach Osi II RPO (2007-2013)</t>
  </si>
  <si>
    <t>Przebudowa drogi woj. nr 107 na odcinku Dziwnówek - Kamień Pomorski w ramach Osi II RPO (2007-2013)</t>
  </si>
  <si>
    <t>Przebudowa drogi woj. nr 109 na odcinku Mrzeżyno - Trzebiatów w ramach Osi II RPO (2008-2013)</t>
  </si>
  <si>
    <t>Przebudowa drogi woj. nr 110 na odcinku Lędzin - Cerkwica w ramach Osi II RPO WZ (2008-2013)</t>
  </si>
  <si>
    <t>Przebudowa drogi woj. nr 156 na odcinku Mostkowo - Barlinek w ramach Osi II RPO WZ (2008-2013)</t>
  </si>
  <si>
    <t>Budowa obejścia m. Goleniów w ciągu drogi nr 113 w ramach Osi II RPO (2009-2013)</t>
  </si>
  <si>
    <t>Budowa obejścia m. Trzebiatów w ciągu drogi nr 102 w ramach Osi II RPO (2008-2013)</t>
  </si>
  <si>
    <t>Przebudowa przejścia przez m. Kołobrzeg w ciagu drogi nr 102 w ramach Osi II RPO (2008-2013)</t>
  </si>
  <si>
    <t>Budowa obejścia m. Szczecinek w ciągu drogi nr 172 w ramach Osi II RPO (2009-2013)</t>
  </si>
  <si>
    <t>Przebudowa drogi woj. nr 167 na odcinku Koszalin - droga nr 168 w ramach Osi II RPO (2008-2013)</t>
  </si>
  <si>
    <t>Przebudowa drogi woj. nr 151 na odcinku Choszczno - Pełczyce w ramach Osi II RPO (2007-2013)</t>
  </si>
  <si>
    <t>Budowa obejścia m. Choszczno w ciągu drogi nr 151 w ramach Osi II RPO (2008-2013)</t>
  </si>
  <si>
    <t>Budowa obejścia m. Barlinek w ciągu drogi nr 151 w ramach Osi II RPO (2010-2013)</t>
  </si>
  <si>
    <t>Budowa obejścia m. Dobra w ciągu drogi nr 144 w ramach Osi II RPO (2011-2013)</t>
  </si>
  <si>
    <t>Przebudowa przejścia przez m. Połczyn Zdrój w ciągu drogi nr 163 (2008-2012)</t>
  </si>
  <si>
    <t>Przebudowa i rozbudowa mostu na Odrze Zachodniej na drodze woj. nr 120 w Gryfinie w ramach IW INTERREG IV A (2010-2012)</t>
  </si>
  <si>
    <t>Przebudowa i rozbudowa przejścia drogowego przez m. Krzywin na drodze woj. Nr 122 w ramach IW INTERREG IV A (2010-2013)</t>
  </si>
  <si>
    <t>Studium wykonalności Zachodniego Drogowego Obejścia Miasta Szczecina wraz z Raportem oddziaływania na środowisko (2009-2012)</t>
  </si>
  <si>
    <t>Objęcie nowych udziałów w Spółce Port Lotniczy Szczecin-Goleniów (2008-2020)</t>
  </si>
  <si>
    <t>Przebudowa i rozbudowa przejścia drogowego przez m. Gryfino na drodze woj. Nr 120 (2011-2012)</t>
  </si>
  <si>
    <t>Przebudowa i rozbudowa przejścia drogowego przez m. Tanowo na drodze woj. Nr 115  (2010-2013)</t>
  </si>
  <si>
    <t>w tym:</t>
  </si>
  <si>
    <t>PLAN UCHWALONY WYNIKAJĄCY 
Z UCHWAŁY NR XXIII/305/13 SWZ 
Z DNIA 26 MARCA 2013 R.</t>
  </si>
  <si>
    <t>Wykonanie 
na 
31.03.2013</t>
  </si>
  <si>
    <t>Wskaźnik wykonania 
w % 
(kol. 7 : 4)</t>
  </si>
  <si>
    <t>Wskaźnik wykonania 
w %
 (kol. 9 :  5)</t>
  </si>
  <si>
    <t>Plan na
 2013 r. wg uchwały 
z dnia
 26.03.2013 r.</t>
  </si>
  <si>
    <t>Wskaźnik wykonania
 w % 
(kol. 7 : 4)</t>
  </si>
  <si>
    <t>Wskaźnik wykonania 
w %
(kol. 9 :  5)</t>
  </si>
  <si>
    <t xml:space="preserve">w tym 
wykonanie za I kwartał 2013 r. </t>
  </si>
  <si>
    <t>Plan na 2013 r. wg uchwały 
z dnia 
26.03.2013 r.</t>
  </si>
  <si>
    <t xml:space="preserve">w tym
wykonanie za I kwartał 2013 r. </t>
  </si>
  <si>
    <t>PLAN UCHWALONY WYNIKAJĄCY
 Z UCHWAŁY NR XXIII/305/13 SWZ
 Z DNIA 26 MARCA 2013 R.</t>
  </si>
  <si>
    <t>PLAN UCHWALONY WYNIKAJĄCY
 Z UCHWAŁY NR XXIII/305/13 SWZ 
Z DNIA 26 MARCA 2013 R.</t>
  </si>
  <si>
    <t>Razem jesteśmy silni - centralne muzea pomorskie wspólnie tworzą nowoczesne wystawy promujące historię i kulturę Pomorza, w ramach INTERREG IV A (2008 - 2012)</t>
  </si>
  <si>
    <t>Wskaźnik wykonania 
w %
 (kol. 8 : 4)</t>
  </si>
  <si>
    <t>Wskaźnik wykonania 
w % 
(kol. 6 : 3)</t>
  </si>
  <si>
    <t>środki z budżetu województwa *</t>
  </si>
  <si>
    <t>Załącznik Nr  5</t>
  </si>
  <si>
    <t>Załącznik Nr 5A</t>
  </si>
  <si>
    <t>Załącznik Nr 5B</t>
  </si>
  <si>
    <t>Załącznik Nr 5C</t>
  </si>
  <si>
    <t>Załącznik Nr 5D</t>
  </si>
  <si>
    <t>Załącznik Nr 5F</t>
  </si>
  <si>
    <t>Załącznik Nr 5G</t>
  </si>
  <si>
    <t>Załącznik Nr 5H</t>
  </si>
  <si>
    <t>Załącznik Nr  5I</t>
  </si>
  <si>
    <t>Załącznik Nr 5E</t>
  </si>
  <si>
    <t xml:space="preserve">I. ZBIORCZE ZESTAWIENIE WYKONANYCH DOCHODÓW I WYDATKÓW PRZEDSIĘWZIĘĆ FINANSOWANYCH PRZY WSPÓŁUDZIALE ŚRODKÓW, O KTÓRYCH MOWA W ART. 5 UST. 1 PKT 2 I 3 UFP </t>
  </si>
  <si>
    <t xml:space="preserve">WYKONANANIE  W OKRESIE I KWARTAŁU 2013 ROKU DOCHODÓW I WYDATKÓW  PLANOWANYCH NA PRZEDSIĘWZIĘCIA  UJĘTE W WPF I  FINANSOWANE ZE ŚRODKÓW WŁASNYCH ORAZ PRZY WSPÓŁUDZIALE ŚRODKÓW, O KTÓRYCH MOWA W ART. 5 UST. 1 PKT. 2 I 3 UFP - WG ŹRÓDEŁ FINANSOWANIA </t>
  </si>
  <si>
    <t>Poręczenie kredytu dla Samodzielnego Publicznego Wojewódzkiego Zakładu Gruźlicy i Chorób Płuc w Szczecinie - następca prawny Szpital Specjalistyczny w Szczecinie Zdunowie (2006-2016)</t>
  </si>
  <si>
    <t>Poręczenie kredytu dla Szpitala Wojewódzkiego w Koszalinie (2009-2017)</t>
  </si>
  <si>
    <t>Poręczenie kredytu dla Szpitala Specjalistycznego w Szczecinie Zdunowie (2014-2022)*</t>
  </si>
  <si>
    <t xml:space="preserve">II. ZBIORCZE  ZESTAWIENIE WYKONANYCH DOCHODÓW I WYDATKÓW  W POZOSTAŁYCH  PRZEDSIĘWZIĘCIACH </t>
  </si>
  <si>
    <t>Świadczenie usług w zakresie dokonywania transakcji bezgotówkowych na zakup paliwa przy użyciu kart flotowych (2011 - 2016)</t>
  </si>
  <si>
    <t>Świadczenie usług obsługi konserwatorskiej (2011 - 2016)</t>
  </si>
  <si>
    <t>Świadczenie usług w zakresie utrzymania czystości (2011 - 2016)</t>
  </si>
  <si>
    <t>WA, WRiR, WWRPO, WZRPO, WPROW</t>
  </si>
  <si>
    <t>Świadczenie usług w postaci obsługi administracyjno -technicznej części nieruchomości budynkowej Zamku Książąt Pomorskich użytkowanych przez UMWZ (2011 - 2016)</t>
  </si>
  <si>
    <r>
      <t xml:space="preserve">Uwaga!  </t>
    </r>
    <r>
      <rPr>
        <i/>
        <sz val="8"/>
        <color theme="1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</si>
  <si>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r>
      <t xml:space="preserve">środki z budżetu krajowego, </t>
    </r>
    <r>
      <rPr>
        <i/>
        <sz val="10"/>
        <color theme="1"/>
        <rFont val="Arial CE"/>
        <charset val="238"/>
      </rPr>
      <t>z tego</t>
    </r>
    <r>
      <rPr>
        <b/>
        <i/>
        <sz val="10"/>
        <color theme="1"/>
        <rFont val="Arial CE"/>
        <family val="2"/>
        <charset val="238"/>
      </rPr>
      <t>:</t>
    </r>
  </si>
  <si>
    <r>
      <t xml:space="preserve">środki z budżetu krajowego, </t>
    </r>
    <r>
      <rPr>
        <i/>
        <sz val="10"/>
        <color theme="1"/>
        <rFont val="Arial CE"/>
        <charset val="238"/>
      </rPr>
      <t>z tego:</t>
    </r>
    <r>
      <rPr>
        <b/>
        <i/>
        <sz val="10"/>
        <color theme="1"/>
        <rFont val="Arial CE"/>
        <charset val="238"/>
      </rPr>
      <t xml:space="preserve"> </t>
    </r>
  </si>
  <si>
    <t>Rozbudowa przejścia drogowego przez m. Żarczyn na drodze woj. Nr 122 w ramach IW INTERREG IVA (2010-2013)</t>
  </si>
  <si>
    <r>
      <t xml:space="preserve">* </t>
    </r>
    <r>
      <rPr>
        <i/>
        <sz val="8"/>
        <color theme="1"/>
        <rFont val="Arial CE"/>
        <charset val="238"/>
      </rPr>
      <t>W latach 2018 - 2022  kwota poręczenia dla Szpitala Specjalistycznego w Szczecinie Zdunowie wynosi</t>
    </r>
    <r>
      <rPr>
        <b/>
        <i/>
        <sz val="8"/>
        <color theme="1"/>
        <rFont val="Arial CE"/>
        <charset val="238"/>
      </rPr>
      <t xml:space="preserve"> 4.640.000 zł.</t>
    </r>
  </si>
  <si>
    <r>
      <t xml:space="preserve">Prace modernizacyjne i adaptacyjne w nieruchomościach należących do zasobu Województwa </t>
    </r>
    <r>
      <rPr>
        <sz val="10"/>
        <color theme="1"/>
        <rFont val="Arial CE"/>
        <charset val="238"/>
      </rPr>
      <t>(jednoroczne zadania inwestycyjne)</t>
    </r>
  </si>
  <si>
    <t xml:space="preserve">II. PRZEDSIĘWZIĘCIA POZOSTAŁE W ZAKRESIE ADMINISTRACJI I  TELEKOMUNIKACJI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</si>
</sst>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\ _z_ł_-;\-* #,##0\ _z_ł_-;_-* &quot;-&quot;\ _z_ł_-;_-@_-"/>
    <numFmt numFmtId="43" formatCode="_-* #,##0.00\ _z_ł_-;\-* #,##0.00\ _z_ł_-;_-* &quot;-&quot;??\ _z_ł_-;_-@_-"/>
    <numFmt numFmtId="164" formatCode="#,##0.0"/>
    <numFmt numFmtId="165" formatCode="0.0"/>
    <numFmt numFmtId="166" formatCode="_-* #,##0\ _z_ł_-;\-* #,##0\ _z_ł_-;_-* &quot;-&quot;??\ _z_ł_-;_-@_-"/>
    <numFmt numFmtId="167" formatCode="#,##0_ ;\-#,##0\ "/>
  </numFmts>
  <fonts count="55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b/>
      <sz val="10"/>
      <color theme="1"/>
      <name val="Arial CE"/>
      <family val="2"/>
      <charset val="238"/>
    </font>
    <font>
      <b/>
      <i/>
      <sz val="10"/>
      <color theme="1"/>
      <name val="Arial CE"/>
      <family val="2"/>
      <charset val="238"/>
    </font>
    <font>
      <sz val="10"/>
      <color theme="1"/>
      <name val="Arial CE"/>
      <family val="2"/>
      <charset val="238"/>
    </font>
    <font>
      <b/>
      <sz val="14"/>
      <color theme="1"/>
      <name val="Arial CE"/>
      <charset val="238"/>
    </font>
    <font>
      <b/>
      <i/>
      <sz val="14"/>
      <color theme="1"/>
      <name val="Arial CE"/>
      <charset val="238"/>
    </font>
    <font>
      <i/>
      <sz val="8"/>
      <color theme="1"/>
      <name val="Arial CE"/>
      <charset val="238"/>
    </font>
    <font>
      <b/>
      <sz val="18"/>
      <color theme="1"/>
      <name val="Arial CE"/>
      <charset val="238"/>
    </font>
    <font>
      <b/>
      <sz val="16"/>
      <color theme="1"/>
      <name val="Arial CE"/>
      <charset val="238"/>
    </font>
    <font>
      <b/>
      <i/>
      <sz val="14"/>
      <color theme="1"/>
      <name val="Arial Black"/>
      <family val="2"/>
      <charset val="238"/>
    </font>
    <font>
      <b/>
      <sz val="11"/>
      <color theme="1"/>
      <name val="Arial CE"/>
      <charset val="238"/>
    </font>
    <font>
      <b/>
      <sz val="10"/>
      <color theme="1"/>
      <name val="Arial CE"/>
      <charset val="238"/>
    </font>
    <font>
      <sz val="10"/>
      <color theme="1"/>
      <name val="Arial"/>
      <family val="2"/>
      <charset val="238"/>
    </font>
    <font>
      <sz val="9"/>
      <color theme="1"/>
      <name val="Arial CE"/>
      <charset val="238"/>
    </font>
    <font>
      <b/>
      <sz val="10"/>
      <color theme="1"/>
      <name val="Arial"/>
      <family val="2"/>
      <charset val="238"/>
    </font>
    <font>
      <b/>
      <sz val="9"/>
      <color theme="1"/>
      <name val="Arial CE"/>
      <family val="2"/>
      <charset val="238"/>
    </font>
    <font>
      <b/>
      <sz val="8"/>
      <color theme="1"/>
      <name val="Arial CE"/>
      <charset val="238"/>
    </font>
    <font>
      <sz val="9"/>
      <color theme="1"/>
      <name val="Arial CE"/>
      <family val="2"/>
      <charset val="238"/>
    </font>
    <font>
      <b/>
      <i/>
      <sz val="10"/>
      <color theme="1"/>
      <name val="Arial CE"/>
      <charset val="238"/>
    </font>
    <font>
      <b/>
      <i/>
      <sz val="9"/>
      <color theme="1"/>
      <name val="Arial CE"/>
      <charset val="238"/>
    </font>
    <font>
      <sz val="11"/>
      <color theme="1"/>
      <name val="Arial CE"/>
      <family val="2"/>
      <charset val="238"/>
    </font>
    <font>
      <sz val="10"/>
      <color theme="1"/>
      <name val="Arial CE"/>
      <charset val="238"/>
    </font>
    <font>
      <b/>
      <sz val="11"/>
      <color theme="1"/>
      <name val="Arial CE"/>
      <family val="2"/>
      <charset val="238"/>
    </font>
    <font>
      <b/>
      <i/>
      <sz val="9"/>
      <color theme="1"/>
      <name val="Arial CE"/>
      <family val="2"/>
      <charset val="238"/>
    </font>
    <font>
      <sz val="12"/>
      <color theme="1"/>
      <name val="Arial CE"/>
      <charset val="238"/>
    </font>
    <font>
      <sz val="8"/>
      <color theme="1"/>
      <name val="Arial CE"/>
      <charset val="238"/>
    </font>
    <font>
      <b/>
      <i/>
      <sz val="8"/>
      <color theme="1"/>
      <name val="Arial CE"/>
      <charset val="238"/>
    </font>
    <font>
      <i/>
      <sz val="9"/>
      <color theme="1"/>
      <name val="Arial CE"/>
      <charset val="238"/>
    </font>
    <font>
      <b/>
      <sz val="14"/>
      <color theme="1"/>
      <name val="Arial Black"/>
      <family val="2"/>
      <charset val="238"/>
    </font>
    <font>
      <sz val="8"/>
      <color theme="1"/>
      <name val="Arial CE"/>
      <family val="2"/>
      <charset val="238"/>
    </font>
    <font>
      <b/>
      <sz val="8"/>
      <color theme="1"/>
      <name val="Arial CE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i/>
      <sz val="10"/>
      <color theme="1"/>
      <name val="Arial CE"/>
      <charset val="238"/>
    </font>
    <font>
      <sz val="14"/>
      <color theme="1"/>
      <name val="Arial Black"/>
      <family val="2"/>
      <charset val="238"/>
    </font>
    <font>
      <sz val="8"/>
      <color theme="1"/>
      <name val="Arial Black"/>
      <family val="2"/>
      <charset val="238"/>
    </font>
    <font>
      <sz val="9"/>
      <color theme="1"/>
      <name val="Arial"/>
      <family val="2"/>
      <charset val="238"/>
    </font>
    <font>
      <b/>
      <i/>
      <sz val="8"/>
      <color theme="1"/>
      <name val="Arial CE"/>
      <family val="2"/>
      <charset val="238"/>
    </font>
    <font>
      <i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sz val="10"/>
      <color theme="1"/>
      <name val="Arial Black"/>
      <family val="2"/>
      <charset val="238"/>
    </font>
    <font>
      <i/>
      <sz val="8"/>
      <color theme="1"/>
      <name val="Arial"/>
      <family val="2"/>
      <charset val="238"/>
    </font>
    <font>
      <b/>
      <sz val="7"/>
      <color theme="1"/>
      <name val="Arial CE"/>
      <family val="2"/>
      <charset val="238"/>
    </font>
    <font>
      <i/>
      <sz val="10"/>
      <color theme="1"/>
      <name val="Arial CE"/>
      <family val="2"/>
      <charset val="238"/>
    </font>
    <font>
      <sz val="12"/>
      <color theme="1"/>
      <name val="Arial CE"/>
      <family val="2"/>
      <charset val="238"/>
    </font>
    <font>
      <b/>
      <sz val="7"/>
      <color theme="1"/>
      <name val="Arial"/>
      <family val="2"/>
      <charset val="238"/>
    </font>
    <font>
      <i/>
      <sz val="8"/>
      <color theme="1"/>
      <name val="Arial CE"/>
      <family val="2"/>
      <charset val="238"/>
    </font>
    <font>
      <i/>
      <sz val="9"/>
      <color theme="1"/>
      <name val="Arial CE"/>
      <family val="2"/>
      <charset val="238"/>
    </font>
    <font>
      <b/>
      <sz val="9"/>
      <color theme="1"/>
      <name val="Arial CE"/>
      <charset val="238"/>
    </font>
    <font>
      <b/>
      <sz val="14"/>
      <color theme="1"/>
      <name val="Arial CE"/>
      <family val="2"/>
      <charset val="238"/>
    </font>
    <font>
      <b/>
      <i/>
      <sz val="8"/>
      <color theme="1"/>
      <name val="Arial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CC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rgb="FFFFFF00"/>
        <bgColor indexed="64"/>
      </patternFill>
    </fill>
  </fills>
  <borders count="1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3309">
    <xf numFmtId="0" fontId="0" fillId="0" borderId="0" xfId="0"/>
    <xf numFmtId="3" fontId="5" fillId="4" borderId="65" xfId="0" applyNumberFormat="1" applyFont="1" applyFill="1" applyBorder="1" applyAlignment="1">
      <alignment vertical="top"/>
    </xf>
    <xf numFmtId="3" fontId="6" fillId="0" borderId="65" xfId="0" applyNumberFormat="1" applyFont="1" applyFill="1" applyBorder="1" applyAlignment="1">
      <alignment vertical="top"/>
    </xf>
    <xf numFmtId="3" fontId="7" fillId="0" borderId="71" xfId="0" applyNumberFormat="1" applyFont="1" applyFill="1" applyBorder="1" applyAlignment="1">
      <alignment vertical="top"/>
    </xf>
    <xf numFmtId="0" fontId="7" fillId="14" borderId="61" xfId="0" applyFont="1" applyFill="1" applyBorder="1" applyAlignment="1">
      <alignment vertical="top"/>
    </xf>
    <xf numFmtId="0" fontId="8" fillId="0" borderId="0" xfId="0" applyFont="1" applyFill="1" applyAlignment="1"/>
    <xf numFmtId="0" fontId="7" fillId="0" borderId="0" xfId="0" applyFont="1" applyAlignment="1">
      <alignment horizontal="center" vertical="center"/>
    </xf>
    <xf numFmtId="0" fontId="7" fillId="0" borderId="0" xfId="0" applyFont="1"/>
    <xf numFmtId="0" fontId="7" fillId="0" borderId="0" xfId="0" applyFont="1" applyBorder="1"/>
    <xf numFmtId="0" fontId="9" fillId="0" borderId="0" xfId="0" applyFont="1" applyFill="1" applyAlignment="1"/>
    <xf numFmtId="0" fontId="10" fillId="0" borderId="0" xfId="0" applyFont="1" applyFill="1" applyAlignment="1">
      <alignment horizontal="left"/>
    </xf>
    <xf numFmtId="0" fontId="12" fillId="2" borderId="0" xfId="0" applyFont="1" applyFill="1" applyBorder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/>
    </xf>
    <xf numFmtId="0" fontId="14" fillId="2" borderId="57" xfId="2" applyFont="1" applyFill="1" applyBorder="1" applyAlignment="1">
      <alignment vertical="center" wrapText="1"/>
    </xf>
    <xf numFmtId="0" fontId="5" fillId="2" borderId="43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/>
    </xf>
    <xf numFmtId="0" fontId="15" fillId="0" borderId="138" xfId="2" applyFont="1" applyFill="1" applyBorder="1" applyAlignment="1">
      <alignment vertical="center" wrapText="1"/>
    </xf>
    <xf numFmtId="0" fontId="5" fillId="2" borderId="13" xfId="0" applyFont="1" applyFill="1" applyBorder="1" applyAlignment="1">
      <alignment horizontal="center"/>
    </xf>
    <xf numFmtId="0" fontId="21" fillId="0" borderId="44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/>
    </xf>
    <xf numFmtId="0" fontId="21" fillId="0" borderId="20" xfId="0" applyFont="1" applyBorder="1" applyAlignment="1">
      <alignment horizontal="center"/>
    </xf>
    <xf numFmtId="0" fontId="21" fillId="0" borderId="20" xfId="0" quotePrefix="1" applyFont="1" applyBorder="1" applyAlignment="1">
      <alignment horizontal="center"/>
    </xf>
    <xf numFmtId="0" fontId="21" fillId="0" borderId="21" xfId="0" quotePrefix="1" applyFont="1" applyBorder="1" applyAlignment="1">
      <alignment horizontal="center"/>
    </xf>
    <xf numFmtId="0" fontId="21" fillId="0" borderId="22" xfId="0" quotePrefix="1" applyFont="1" applyFill="1" applyBorder="1" applyAlignment="1">
      <alignment horizontal="center"/>
    </xf>
    <xf numFmtId="0" fontId="21" fillId="0" borderId="19" xfId="0" quotePrefix="1" applyFont="1" applyBorder="1" applyAlignment="1">
      <alignment horizontal="center"/>
    </xf>
    <xf numFmtId="0" fontId="21" fillId="0" borderId="22" xfId="0" quotePrefix="1" applyFont="1" applyBorder="1" applyAlignment="1">
      <alignment horizontal="center"/>
    </xf>
    <xf numFmtId="0" fontId="21" fillId="0" borderId="84" xfId="0" quotePrefix="1" applyFont="1" applyBorder="1" applyAlignment="1">
      <alignment horizontal="center"/>
    </xf>
    <xf numFmtId="0" fontId="21" fillId="2" borderId="19" xfId="0" quotePrefix="1" applyFont="1" applyFill="1" applyBorder="1" applyAlignment="1">
      <alignment horizontal="center"/>
    </xf>
    <xf numFmtId="0" fontId="21" fillId="2" borderId="22" xfId="0" quotePrefix="1" applyFont="1" applyFill="1" applyBorder="1" applyAlignment="1">
      <alignment horizontal="center"/>
    </xf>
    <xf numFmtId="0" fontId="21" fillId="2" borderId="84" xfId="0" quotePrefix="1" applyFont="1" applyFill="1" applyBorder="1" applyAlignment="1">
      <alignment horizontal="center"/>
    </xf>
    <xf numFmtId="0" fontId="17" fillId="2" borderId="95" xfId="0" quotePrefix="1" applyFont="1" applyFill="1" applyBorder="1" applyAlignment="1">
      <alignment horizontal="center"/>
    </xf>
    <xf numFmtId="0" fontId="21" fillId="0" borderId="43" xfId="0" applyFont="1" applyBorder="1" applyAlignment="1">
      <alignment horizontal="center" vertical="center"/>
    </xf>
    <xf numFmtId="0" fontId="22" fillId="0" borderId="122" xfId="0" applyFont="1" applyBorder="1" applyAlignment="1">
      <alignment horizontal="left" vertical="center"/>
    </xf>
    <xf numFmtId="3" fontId="22" fillId="2" borderId="122" xfId="0" quotePrefix="1" applyNumberFormat="1" applyFont="1" applyFill="1" applyBorder="1" applyAlignment="1">
      <alignment vertical="center"/>
    </xf>
    <xf numFmtId="3" fontId="22" fillId="2" borderId="118" xfId="0" quotePrefix="1" applyNumberFormat="1" applyFont="1" applyFill="1" applyBorder="1" applyAlignment="1">
      <alignment vertical="center"/>
    </xf>
    <xf numFmtId="3" fontId="22" fillId="2" borderId="116" xfId="0" quotePrefix="1" applyNumberFormat="1" applyFont="1" applyFill="1" applyBorder="1" applyAlignment="1">
      <alignment vertical="center"/>
    </xf>
    <xf numFmtId="3" fontId="22" fillId="2" borderId="117" xfId="0" quotePrefix="1" applyNumberFormat="1" applyFont="1" applyFill="1" applyBorder="1" applyAlignment="1">
      <alignment vertical="center"/>
    </xf>
    <xf numFmtId="3" fontId="22" fillId="2" borderId="140" xfId="0" quotePrefix="1" applyNumberFormat="1" applyFont="1" applyFill="1" applyBorder="1" applyAlignment="1">
      <alignment vertical="center"/>
    </xf>
    <xf numFmtId="165" fontId="22" fillId="0" borderId="122" xfId="2" applyNumberFormat="1" applyFont="1" applyFill="1" applyBorder="1" applyAlignment="1">
      <alignment horizontal="right" vertical="center"/>
    </xf>
    <xf numFmtId="165" fontId="22" fillId="0" borderId="117" xfId="2" applyNumberFormat="1" applyFont="1" applyFill="1" applyBorder="1" applyAlignment="1">
      <alignment horizontal="right" vertical="center"/>
    </xf>
    <xf numFmtId="3" fontId="23" fillId="2" borderId="144" xfId="0" quotePrefix="1" applyNumberFormat="1" applyFont="1" applyFill="1" applyBorder="1" applyAlignment="1">
      <alignment vertical="center"/>
    </xf>
    <xf numFmtId="0" fontId="22" fillId="0" borderId="123" xfId="0" applyFont="1" applyBorder="1" applyAlignment="1">
      <alignment horizontal="left" vertical="center"/>
    </xf>
    <xf numFmtId="3" fontId="22" fillId="2" borderId="123" xfId="0" quotePrefix="1" applyNumberFormat="1" applyFont="1" applyFill="1" applyBorder="1" applyAlignment="1">
      <alignment vertical="center"/>
    </xf>
    <xf numFmtId="3" fontId="22" fillId="2" borderId="121" xfId="0" quotePrefix="1" applyNumberFormat="1" applyFont="1" applyFill="1" applyBorder="1" applyAlignment="1">
      <alignment vertical="center"/>
    </xf>
    <xf numFmtId="3" fontId="22" fillId="2" borderId="119" xfId="0" quotePrefix="1" applyNumberFormat="1" applyFont="1" applyFill="1" applyBorder="1" applyAlignment="1">
      <alignment vertical="center"/>
    </xf>
    <xf numFmtId="3" fontId="22" fillId="2" borderId="120" xfId="0" quotePrefix="1" applyNumberFormat="1" applyFont="1" applyFill="1" applyBorder="1" applyAlignment="1">
      <alignment vertical="center"/>
    </xf>
    <xf numFmtId="3" fontId="22" fillId="2" borderId="132" xfId="0" quotePrefix="1" applyNumberFormat="1" applyFont="1" applyFill="1" applyBorder="1" applyAlignment="1">
      <alignment vertical="center"/>
    </xf>
    <xf numFmtId="165" fontId="22" fillId="0" borderId="123" xfId="2" applyNumberFormat="1" applyFont="1" applyFill="1" applyBorder="1" applyAlignment="1">
      <alignment horizontal="right" vertical="center"/>
    </xf>
    <xf numFmtId="165" fontId="22" fillId="0" borderId="120" xfId="2" applyNumberFormat="1" applyFont="1" applyFill="1" applyBorder="1" applyAlignment="1">
      <alignment horizontal="right" vertical="center"/>
    </xf>
    <xf numFmtId="3" fontId="23" fillId="2" borderId="134" xfId="0" quotePrefix="1" applyNumberFormat="1" applyFont="1" applyFill="1" applyBorder="1" applyAlignment="1">
      <alignment vertical="center"/>
    </xf>
    <xf numFmtId="0" fontId="22" fillId="0" borderId="49" xfId="0" applyFont="1" applyBorder="1" applyAlignment="1">
      <alignment horizontal="left" vertical="top"/>
    </xf>
    <xf numFmtId="3" fontId="22" fillId="2" borderId="35" xfId="0" quotePrefix="1" applyNumberFormat="1" applyFont="1" applyFill="1" applyBorder="1" applyAlignment="1">
      <alignment vertical="center"/>
    </xf>
    <xf numFmtId="3" fontId="22" fillId="2" borderId="114" xfId="0" quotePrefix="1" applyNumberFormat="1" applyFont="1" applyFill="1" applyBorder="1" applyAlignment="1">
      <alignment vertical="center"/>
    </xf>
    <xf numFmtId="3" fontId="22" fillId="2" borderId="34" xfId="0" quotePrefix="1" applyNumberFormat="1" applyFont="1" applyFill="1" applyBorder="1" applyAlignment="1">
      <alignment vertical="center"/>
    </xf>
    <xf numFmtId="3" fontId="22" fillId="2" borderId="113" xfId="0" quotePrefix="1" applyNumberFormat="1" applyFont="1" applyFill="1" applyBorder="1" applyAlignment="1">
      <alignment vertical="center"/>
    </xf>
    <xf numFmtId="165" fontId="22" fillId="0" borderId="114" xfId="2" applyNumberFormat="1" applyFont="1" applyFill="1" applyBorder="1" applyAlignment="1">
      <alignment horizontal="right" vertical="center"/>
    </xf>
    <xf numFmtId="165" fontId="22" fillId="0" borderId="113" xfId="2" applyNumberFormat="1" applyFont="1" applyFill="1" applyBorder="1" applyAlignment="1">
      <alignment horizontal="right" vertical="center"/>
    </xf>
    <xf numFmtId="3" fontId="23" fillId="2" borderId="145" xfId="0" quotePrefix="1" applyNumberFormat="1" applyFont="1" applyFill="1" applyBorder="1" applyAlignment="1">
      <alignment vertical="top"/>
    </xf>
    <xf numFmtId="0" fontId="15" fillId="4" borderId="32" xfId="2" applyFont="1" applyFill="1" applyBorder="1" applyAlignment="1">
      <alignment horizontal="left" vertical="center"/>
    </xf>
    <xf numFmtId="3" fontId="15" fillId="4" borderId="30" xfId="0" applyNumberFormat="1" applyFont="1" applyFill="1" applyBorder="1" applyAlignment="1">
      <alignment horizontal="right" vertical="center" wrapText="1"/>
    </xf>
    <xf numFmtId="3" fontId="15" fillId="4" borderId="27" xfId="0" applyNumberFormat="1" applyFont="1" applyFill="1" applyBorder="1" applyAlignment="1">
      <alignment horizontal="right" vertical="center" wrapText="1"/>
    </xf>
    <xf numFmtId="3" fontId="15" fillId="4" borderId="29" xfId="0" applyNumberFormat="1" applyFont="1" applyFill="1" applyBorder="1" applyAlignment="1">
      <alignment horizontal="right" vertical="center" wrapText="1"/>
    </xf>
    <xf numFmtId="3" fontId="15" fillId="4" borderId="1" xfId="0" applyNumberFormat="1" applyFont="1" applyFill="1" applyBorder="1" applyAlignment="1">
      <alignment horizontal="right" vertical="center" wrapText="1"/>
    </xf>
    <xf numFmtId="3" fontId="15" fillId="4" borderId="28" xfId="0" applyNumberFormat="1" applyFont="1" applyFill="1" applyBorder="1" applyAlignment="1">
      <alignment horizontal="right" vertical="center" wrapText="1"/>
    </xf>
    <xf numFmtId="3" fontId="15" fillId="4" borderId="59" xfId="0" applyNumberFormat="1" applyFont="1" applyFill="1" applyBorder="1" applyAlignment="1">
      <alignment horizontal="right" vertical="center" wrapText="1"/>
    </xf>
    <xf numFmtId="164" fontId="15" fillId="4" borderId="30" xfId="0" applyNumberFormat="1" applyFont="1" applyFill="1" applyBorder="1" applyAlignment="1">
      <alignment horizontal="right" vertical="center" wrapText="1"/>
    </xf>
    <xf numFmtId="164" fontId="15" fillId="4" borderId="59" xfId="0" applyNumberFormat="1" applyFont="1" applyFill="1" applyBorder="1" applyAlignment="1">
      <alignment horizontal="right" vertical="center" wrapText="1"/>
    </xf>
    <xf numFmtId="3" fontId="14" fillId="4" borderId="97" xfId="0" applyNumberFormat="1" applyFont="1" applyFill="1" applyBorder="1" applyAlignment="1">
      <alignment horizontal="right" vertical="center" wrapText="1"/>
    </xf>
    <xf numFmtId="0" fontId="24" fillId="0" borderId="0" xfId="0" applyFont="1" applyFill="1" applyBorder="1" applyAlignment="1"/>
    <xf numFmtId="0" fontId="22" fillId="5" borderId="32" xfId="2" applyFont="1" applyFill="1" applyBorder="1" applyAlignment="1">
      <alignment vertical="center"/>
    </xf>
    <xf numFmtId="3" fontId="22" fillId="5" borderId="30" xfId="0" applyNumberFormat="1" applyFont="1" applyFill="1" applyBorder="1" applyAlignment="1">
      <alignment horizontal="right" vertical="center" wrapText="1"/>
    </xf>
    <xf numFmtId="3" fontId="22" fillId="5" borderId="29" xfId="0" applyNumberFormat="1" applyFont="1" applyFill="1" applyBorder="1" applyAlignment="1">
      <alignment horizontal="right" vertical="center" wrapText="1"/>
    </xf>
    <xf numFmtId="3" fontId="22" fillId="5" borderId="28" xfId="0" applyNumberFormat="1" applyFont="1" applyFill="1" applyBorder="1" applyAlignment="1">
      <alignment horizontal="right" vertical="center" wrapText="1"/>
    </xf>
    <xf numFmtId="3" fontId="22" fillId="5" borderId="59" xfId="0" applyNumberFormat="1" applyFont="1" applyFill="1" applyBorder="1" applyAlignment="1">
      <alignment horizontal="right" vertical="center" wrapText="1"/>
    </xf>
    <xf numFmtId="164" fontId="22" fillId="5" borderId="5" xfId="0" applyNumberFormat="1" applyFont="1" applyFill="1" applyBorder="1" applyAlignment="1">
      <alignment horizontal="right" vertical="center" wrapText="1"/>
    </xf>
    <xf numFmtId="164" fontId="22" fillId="5" borderId="58" xfId="0" applyNumberFormat="1" applyFont="1" applyFill="1" applyBorder="1" applyAlignment="1">
      <alignment horizontal="right" vertical="center" wrapText="1"/>
    </xf>
    <xf numFmtId="3" fontId="22" fillId="5" borderId="97" xfId="0" applyNumberFormat="1" applyFont="1" applyFill="1" applyBorder="1" applyAlignment="1">
      <alignment horizontal="right" vertical="center" wrapText="1"/>
    </xf>
    <xf numFmtId="0" fontId="7" fillId="0" borderId="0" xfId="0" applyFont="1" applyFill="1" applyBorder="1" applyAlignment="1"/>
    <xf numFmtId="0" fontId="25" fillId="0" borderId="32" xfId="0" applyFont="1" applyFill="1" applyBorder="1" applyAlignment="1">
      <alignment vertical="center" wrapText="1"/>
    </xf>
    <xf numFmtId="3" fontId="25" fillId="0" borderId="30" xfId="0" applyNumberFormat="1" applyFont="1" applyFill="1" applyBorder="1" applyAlignment="1">
      <alignment vertical="center" wrapText="1"/>
    </xf>
    <xf numFmtId="3" fontId="25" fillId="0" borderId="27" xfId="0" applyNumberFormat="1" applyFont="1" applyFill="1" applyBorder="1" applyAlignment="1">
      <alignment vertical="center" wrapText="1"/>
    </xf>
    <xf numFmtId="3" fontId="25" fillId="0" borderId="1" xfId="0" applyNumberFormat="1" applyFont="1" applyFill="1" applyBorder="1" applyAlignment="1">
      <alignment vertical="center" wrapText="1"/>
    </xf>
    <xf numFmtId="3" fontId="25" fillId="0" borderId="28" xfId="0" applyNumberFormat="1" applyFont="1" applyFill="1" applyBorder="1" applyAlignment="1">
      <alignment vertical="center" wrapText="1"/>
    </xf>
    <xf numFmtId="3" fontId="25" fillId="0" borderId="97" xfId="0" applyNumberFormat="1" applyFont="1" applyFill="1" applyBorder="1" applyAlignment="1">
      <alignment vertical="center" wrapText="1"/>
    </xf>
    <xf numFmtId="165" fontId="25" fillId="0" borderId="5" xfId="0" applyNumberFormat="1" applyFont="1" applyFill="1" applyBorder="1" applyAlignment="1">
      <alignment vertical="center" wrapText="1"/>
    </xf>
    <xf numFmtId="165" fontId="25" fillId="0" borderId="58" xfId="0" applyNumberFormat="1" applyFont="1" applyFill="1" applyBorder="1" applyAlignment="1">
      <alignment vertical="center" wrapText="1"/>
    </xf>
    <xf numFmtId="3" fontId="21" fillId="0" borderId="97" xfId="0" applyNumberFormat="1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/>
    </xf>
    <xf numFmtId="0" fontId="25" fillId="0" borderId="31" xfId="0" applyFont="1" applyFill="1" applyBorder="1" applyAlignment="1">
      <alignment vertical="center" wrapText="1"/>
    </xf>
    <xf numFmtId="3" fontId="21" fillId="0" borderId="0" xfId="0" applyNumberFormat="1" applyFont="1" applyFill="1" applyBorder="1" applyAlignment="1">
      <alignment vertical="center" wrapText="1"/>
    </xf>
    <xf numFmtId="3" fontId="25" fillId="0" borderId="5" xfId="0" applyNumberFormat="1" applyFont="1" applyFill="1" applyBorder="1" applyAlignment="1">
      <alignment vertical="center" wrapText="1"/>
    </xf>
    <xf numFmtId="3" fontId="25" fillId="0" borderId="24" xfId="0" applyNumberFormat="1" applyFont="1" applyFill="1" applyBorder="1" applyAlignment="1">
      <alignment vertical="center" wrapText="1"/>
    </xf>
    <xf numFmtId="3" fontId="25" fillId="0" borderId="26" xfId="0" applyNumberFormat="1" applyFont="1" applyFill="1" applyBorder="1" applyAlignment="1">
      <alignment vertical="center" wrapText="1"/>
    </xf>
    <xf numFmtId="3" fontId="25" fillId="0" borderId="23" xfId="0" applyNumberFormat="1" applyFont="1" applyFill="1" applyBorder="1" applyAlignment="1">
      <alignment vertical="center" wrapText="1"/>
    </xf>
    <xf numFmtId="43" fontId="25" fillId="0" borderId="24" xfId="1" applyFont="1" applyFill="1" applyBorder="1" applyAlignment="1">
      <alignment vertical="center" wrapText="1"/>
    </xf>
    <xf numFmtId="43" fontId="25" fillId="0" borderId="138" xfId="1" applyFont="1" applyFill="1" applyBorder="1" applyAlignment="1">
      <alignment vertical="center" wrapText="1"/>
    </xf>
    <xf numFmtId="3" fontId="25" fillId="0" borderId="31" xfId="0" applyNumberFormat="1" applyFont="1" applyFill="1" applyBorder="1" applyAlignment="1">
      <alignment vertical="center" wrapText="1"/>
    </xf>
    <xf numFmtId="43" fontId="25" fillId="0" borderId="58" xfId="1" applyFont="1" applyFill="1" applyBorder="1" applyAlignment="1">
      <alignment vertical="center" wrapText="1"/>
    </xf>
    <xf numFmtId="3" fontId="21" fillId="0" borderId="138" xfId="0" applyNumberFormat="1" applyFont="1" applyFill="1" applyBorder="1" applyAlignment="1">
      <alignment vertical="center" wrapText="1"/>
    </xf>
    <xf numFmtId="3" fontId="25" fillId="0" borderId="25" xfId="0" applyNumberFormat="1" applyFont="1" applyFill="1" applyBorder="1" applyAlignment="1">
      <alignment vertical="center" wrapText="1"/>
    </xf>
    <xf numFmtId="43" fontId="25" fillId="0" borderId="5" xfId="1" applyFont="1" applyFill="1" applyBorder="1" applyAlignment="1">
      <alignment vertical="center" wrapText="1"/>
    </xf>
    <xf numFmtId="3" fontId="25" fillId="0" borderId="58" xfId="0" applyNumberFormat="1" applyFont="1" applyFill="1" applyBorder="1" applyAlignment="1">
      <alignment vertical="center" wrapText="1"/>
    </xf>
    <xf numFmtId="3" fontId="25" fillId="0" borderId="6" xfId="0" applyNumberFormat="1" applyFont="1" applyFill="1" applyBorder="1" applyAlignment="1">
      <alignment vertical="center" wrapText="1"/>
    </xf>
    <xf numFmtId="3" fontId="25" fillId="0" borderId="11" xfId="0" applyNumberFormat="1" applyFont="1" applyFill="1" applyBorder="1" applyAlignment="1">
      <alignment vertical="center" wrapText="1"/>
    </xf>
    <xf numFmtId="3" fontId="25" fillId="0" borderId="50" xfId="0" applyNumberFormat="1" applyFont="1" applyFill="1" applyBorder="1" applyAlignment="1">
      <alignment vertical="center" wrapText="1"/>
    </xf>
    <xf numFmtId="0" fontId="22" fillId="5" borderId="32" xfId="2" applyFont="1" applyFill="1" applyBorder="1" applyAlignment="1">
      <alignment vertical="center" wrapText="1"/>
    </xf>
    <xf numFmtId="3" fontId="22" fillId="5" borderId="5" xfId="0" applyNumberFormat="1" applyFont="1" applyFill="1" applyBorder="1" applyAlignment="1">
      <alignment vertical="center" wrapText="1"/>
    </xf>
    <xf numFmtId="3" fontId="22" fillId="5" borderId="25" xfId="0" applyNumberFormat="1" applyFont="1" applyFill="1" applyBorder="1" applyAlignment="1">
      <alignment vertical="center" wrapText="1"/>
    </xf>
    <xf numFmtId="3" fontId="22" fillId="5" borderId="23" xfId="0" applyNumberFormat="1" applyFont="1" applyFill="1" applyBorder="1" applyAlignment="1">
      <alignment vertical="center" wrapText="1"/>
    </xf>
    <xf numFmtId="3" fontId="22" fillId="5" borderId="58" xfId="0" applyNumberFormat="1" applyFont="1" applyFill="1" applyBorder="1" applyAlignment="1">
      <alignment vertical="center" wrapText="1"/>
    </xf>
    <xf numFmtId="164" fontId="22" fillId="5" borderId="30" xfId="0" applyNumberFormat="1" applyFont="1" applyFill="1" applyBorder="1" applyAlignment="1">
      <alignment horizontal="right" vertical="center" wrapText="1"/>
    </xf>
    <xf numFmtId="164" fontId="22" fillId="5" borderId="59" xfId="0" applyNumberFormat="1" applyFont="1" applyFill="1" applyBorder="1" applyAlignment="1">
      <alignment horizontal="right" vertical="center" wrapText="1"/>
    </xf>
    <xf numFmtId="3" fontId="23" fillId="5" borderId="138" xfId="0" applyNumberFormat="1" applyFont="1" applyFill="1" applyBorder="1" applyAlignment="1">
      <alignment vertical="center" wrapText="1"/>
    </xf>
    <xf numFmtId="0" fontId="15" fillId="4" borderId="31" xfId="2" applyFont="1" applyFill="1" applyBorder="1" applyAlignment="1">
      <alignment horizontal="left" vertical="center"/>
    </xf>
    <xf numFmtId="3" fontId="15" fillId="4" borderId="5" xfId="0" applyNumberFormat="1" applyFont="1" applyFill="1" applyBorder="1" applyAlignment="1">
      <alignment vertical="center" wrapText="1"/>
    </xf>
    <xf numFmtId="3" fontId="15" fillId="4" borderId="24" xfId="0" applyNumberFormat="1" applyFont="1" applyFill="1" applyBorder="1" applyAlignment="1">
      <alignment vertical="center" wrapText="1"/>
    </xf>
    <xf numFmtId="3" fontId="15" fillId="4" borderId="25" xfId="0" applyNumberFormat="1" applyFont="1" applyFill="1" applyBorder="1" applyAlignment="1">
      <alignment vertical="center" wrapText="1"/>
    </xf>
    <xf numFmtId="3" fontId="15" fillId="4" borderId="26" xfId="0" applyNumberFormat="1" applyFont="1" applyFill="1" applyBorder="1" applyAlignment="1">
      <alignment vertical="center" wrapText="1"/>
    </xf>
    <xf numFmtId="3" fontId="15" fillId="4" borderId="23" xfId="0" applyNumberFormat="1" applyFont="1" applyFill="1" applyBorder="1" applyAlignment="1">
      <alignment vertical="center" wrapText="1"/>
    </xf>
    <xf numFmtId="3" fontId="15" fillId="4" borderId="58" xfId="0" applyNumberFormat="1" applyFont="1" applyFill="1" applyBorder="1" applyAlignment="1">
      <alignment vertical="center" wrapText="1"/>
    </xf>
    <xf numFmtId="164" fontId="15" fillId="4" borderId="5" xfId="0" applyNumberFormat="1" applyFont="1" applyFill="1" applyBorder="1" applyAlignment="1">
      <alignment horizontal="right" vertical="center" wrapText="1"/>
    </xf>
    <xf numFmtId="164" fontId="15" fillId="4" borderId="58" xfId="0" applyNumberFormat="1" applyFont="1" applyFill="1" applyBorder="1" applyAlignment="1">
      <alignment horizontal="right" vertical="center" wrapText="1"/>
    </xf>
    <xf numFmtId="3" fontId="14" fillId="4" borderId="138" xfId="0" applyNumberFormat="1" applyFont="1" applyFill="1" applyBorder="1" applyAlignment="1">
      <alignment vertical="center" wrapText="1"/>
    </xf>
    <xf numFmtId="0" fontId="24" fillId="0" borderId="0" xfId="0" applyFont="1" applyFill="1" applyBorder="1" applyAlignment="1">
      <alignment vertical="center"/>
    </xf>
    <xf numFmtId="3" fontId="25" fillId="0" borderId="29" xfId="0" applyNumberFormat="1" applyFont="1" applyFill="1" applyBorder="1" applyAlignment="1">
      <alignment vertical="center" wrapText="1"/>
    </xf>
    <xf numFmtId="3" fontId="25" fillId="0" borderId="59" xfId="0" applyNumberFormat="1" applyFont="1" applyFill="1" applyBorder="1" applyAlignment="1">
      <alignment vertical="center" wrapText="1"/>
    </xf>
    <xf numFmtId="3" fontId="25" fillId="2" borderId="30" xfId="0" applyNumberFormat="1" applyFont="1" applyFill="1" applyBorder="1" applyAlignment="1">
      <alignment vertical="center" wrapText="1"/>
    </xf>
    <xf numFmtId="3" fontId="25" fillId="2" borderId="27" xfId="0" applyNumberFormat="1" applyFont="1" applyFill="1" applyBorder="1" applyAlignment="1">
      <alignment vertical="center" wrapText="1"/>
    </xf>
    <xf numFmtId="3" fontId="25" fillId="2" borderId="1" xfId="0" applyNumberFormat="1" applyFont="1" applyFill="1" applyBorder="1" applyAlignment="1">
      <alignment vertical="center" wrapText="1"/>
    </xf>
    <xf numFmtId="3" fontId="22" fillId="5" borderId="24" xfId="0" applyNumberFormat="1" applyFont="1" applyFill="1" applyBorder="1" applyAlignment="1">
      <alignment vertical="center" wrapText="1"/>
    </xf>
    <xf numFmtId="3" fontId="22" fillId="5" borderId="26" xfId="0" applyNumberFormat="1" applyFont="1" applyFill="1" applyBorder="1" applyAlignment="1">
      <alignment vertical="center" wrapText="1"/>
    </xf>
    <xf numFmtId="3" fontId="25" fillId="0" borderId="138" xfId="0" applyNumberFormat="1" applyFont="1" applyFill="1" applyBorder="1" applyAlignment="1">
      <alignment vertical="center" wrapText="1"/>
    </xf>
    <xf numFmtId="0" fontId="25" fillId="0" borderId="136" xfId="0" applyFont="1" applyFill="1" applyBorder="1" applyAlignment="1">
      <alignment vertical="center" wrapText="1"/>
    </xf>
    <xf numFmtId="3" fontId="25" fillId="0" borderId="15" xfId="0" applyNumberFormat="1" applyFont="1" applyFill="1" applyBorder="1" applyAlignment="1">
      <alignment vertical="center" wrapText="1"/>
    </xf>
    <xf numFmtId="3" fontId="25" fillId="0" borderId="16" xfId="0" applyNumberFormat="1" applyFont="1" applyFill="1" applyBorder="1" applyAlignment="1">
      <alignment vertical="center" wrapText="1"/>
    </xf>
    <xf numFmtId="3" fontId="25" fillId="0" borderId="14" xfId="0" applyNumberFormat="1" applyFont="1" applyFill="1" applyBorder="1" applyAlignment="1">
      <alignment vertical="center" wrapText="1"/>
    </xf>
    <xf numFmtId="3" fontId="25" fillId="0" borderId="13" xfId="0" applyNumberFormat="1" applyFont="1" applyFill="1" applyBorder="1" applyAlignment="1">
      <alignment vertical="center" wrapText="1"/>
    </xf>
    <xf numFmtId="3" fontId="25" fillId="0" borderId="100" xfId="0" applyNumberFormat="1" applyFont="1" applyFill="1" applyBorder="1" applyAlignment="1">
      <alignment vertical="center" wrapText="1"/>
    </xf>
    <xf numFmtId="165" fontId="25" fillId="0" borderId="35" xfId="0" applyNumberFormat="1" applyFont="1" applyFill="1" applyBorder="1" applyAlignment="1">
      <alignment vertical="center" wrapText="1"/>
    </xf>
    <xf numFmtId="165" fontId="25" fillId="0" borderId="113" xfId="0" applyNumberFormat="1" applyFont="1" applyFill="1" applyBorder="1" applyAlignment="1">
      <alignment vertical="center" wrapText="1"/>
    </xf>
    <xf numFmtId="3" fontId="21" fillId="0" borderId="100" xfId="0" applyNumberFormat="1" applyFont="1" applyFill="1" applyBorder="1" applyAlignment="1">
      <alignment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 wrapText="1"/>
    </xf>
    <xf numFmtId="0" fontId="21" fillId="0" borderId="12" xfId="0" applyFont="1" applyFill="1" applyBorder="1" applyAlignment="1">
      <alignment vertical="center" wrapText="1"/>
    </xf>
    <xf numFmtId="3" fontId="21" fillId="0" borderId="12" xfId="0" applyNumberFormat="1" applyFont="1" applyFill="1" applyBorder="1" applyAlignment="1">
      <alignment vertical="center" wrapText="1"/>
    </xf>
    <xf numFmtId="3" fontId="21" fillId="0" borderId="37" xfId="0" applyNumberFormat="1" applyFont="1" applyFill="1" applyBorder="1" applyAlignment="1">
      <alignment vertical="center" wrapText="1"/>
    </xf>
    <xf numFmtId="3" fontId="17" fillId="0" borderId="11" xfId="0" applyNumberFormat="1" applyFont="1" applyFill="1" applyBorder="1" applyAlignment="1">
      <alignment vertical="center" wrapText="1"/>
    </xf>
    <xf numFmtId="3" fontId="14" fillId="6" borderId="40" xfId="0" applyNumberFormat="1" applyFont="1" applyFill="1" applyBorder="1" applyAlignment="1">
      <alignment vertical="center" wrapText="1"/>
    </xf>
    <xf numFmtId="3" fontId="14" fillId="6" borderId="38" xfId="0" applyNumberFormat="1" applyFont="1" applyFill="1" applyBorder="1" applyAlignment="1">
      <alignment vertical="center" wrapText="1"/>
    </xf>
    <xf numFmtId="3" fontId="14" fillId="6" borderId="51" xfId="0" applyNumberFormat="1" applyFont="1" applyFill="1" applyBorder="1" applyAlignment="1">
      <alignment vertical="center" wrapText="1"/>
    </xf>
    <xf numFmtId="164" fontId="14" fillId="6" borderId="40" xfId="0" applyNumberFormat="1" applyFont="1" applyFill="1" applyBorder="1" applyAlignment="1">
      <alignment vertical="center" wrapText="1"/>
    </xf>
    <xf numFmtId="3" fontId="14" fillId="6" borderId="52" xfId="0" applyNumberFormat="1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center" vertical="center" wrapText="1"/>
    </xf>
    <xf numFmtId="3" fontId="17" fillId="0" borderId="21" xfId="0" applyNumberFormat="1" applyFont="1" applyFill="1" applyBorder="1" applyAlignment="1">
      <alignment vertical="center" wrapText="1"/>
    </xf>
    <xf numFmtId="0" fontId="5" fillId="2" borderId="42" xfId="0" applyFont="1" applyFill="1" applyBorder="1" applyAlignment="1">
      <alignment horizontal="center"/>
    </xf>
    <xf numFmtId="165" fontId="22" fillId="0" borderId="116" xfId="2" applyNumberFormat="1" applyFont="1" applyFill="1" applyBorder="1" applyAlignment="1">
      <alignment horizontal="right" vertical="center"/>
    </xf>
    <xf numFmtId="165" fontId="22" fillId="0" borderId="119" xfId="2" applyNumberFormat="1" applyFont="1" applyFill="1" applyBorder="1" applyAlignment="1">
      <alignment horizontal="right" vertical="center"/>
    </xf>
    <xf numFmtId="3" fontId="22" fillId="2" borderId="15" xfId="0" quotePrefix="1" applyNumberFormat="1" applyFont="1" applyFill="1" applyBorder="1" applyAlignment="1">
      <alignment vertical="center"/>
    </xf>
    <xf numFmtId="3" fontId="22" fillId="2" borderId="17" xfId="0" quotePrefix="1" applyNumberFormat="1" applyFont="1" applyFill="1" applyBorder="1" applyAlignment="1">
      <alignment vertical="center"/>
    </xf>
    <xf numFmtId="3" fontId="22" fillId="2" borderId="13" xfId="0" quotePrefix="1" applyNumberFormat="1" applyFont="1" applyFill="1" applyBorder="1" applyAlignment="1">
      <alignment vertical="center"/>
    </xf>
    <xf numFmtId="3" fontId="22" fillId="2" borderId="49" xfId="0" quotePrefix="1" applyNumberFormat="1" applyFont="1" applyFill="1" applyBorder="1" applyAlignment="1">
      <alignment vertical="center"/>
    </xf>
    <xf numFmtId="165" fontId="22" fillId="0" borderId="35" xfId="2" applyNumberFormat="1" applyFont="1" applyFill="1" applyBorder="1" applyAlignment="1">
      <alignment horizontal="right" vertical="center"/>
    </xf>
    <xf numFmtId="0" fontId="15" fillId="4" borderId="23" xfId="2" applyFont="1" applyFill="1" applyBorder="1" applyAlignment="1">
      <alignment horizontal="left" vertical="center"/>
    </xf>
    <xf numFmtId="3" fontId="15" fillId="4" borderId="5" xfId="0" applyNumberFormat="1" applyFont="1" applyFill="1" applyBorder="1" applyAlignment="1">
      <alignment horizontal="right" vertical="center" wrapText="1"/>
    </xf>
    <xf numFmtId="3" fontId="15" fillId="4" borderId="26" xfId="0" applyNumberFormat="1" applyFont="1" applyFill="1" applyBorder="1" applyAlignment="1">
      <alignment horizontal="right" vertical="center" wrapText="1"/>
    </xf>
    <xf numFmtId="3" fontId="15" fillId="4" borderId="23" xfId="0" applyNumberFormat="1" applyFont="1" applyFill="1" applyBorder="1" applyAlignment="1">
      <alignment horizontal="right" vertical="center" wrapText="1"/>
    </xf>
    <xf numFmtId="3" fontId="15" fillId="4" borderId="25" xfId="0" applyNumberFormat="1" applyFont="1" applyFill="1" applyBorder="1" applyAlignment="1">
      <alignment horizontal="right" vertical="center" wrapText="1"/>
    </xf>
    <xf numFmtId="3" fontId="15" fillId="4" borderId="31" xfId="0" applyNumberFormat="1" applyFont="1" applyFill="1" applyBorder="1" applyAlignment="1">
      <alignment horizontal="right" vertical="center" wrapText="1"/>
    </xf>
    <xf numFmtId="3" fontId="14" fillId="4" borderId="138" xfId="0" applyNumberFormat="1" applyFont="1" applyFill="1" applyBorder="1" applyAlignment="1">
      <alignment horizontal="right" vertical="center" wrapText="1"/>
    </xf>
    <xf numFmtId="0" fontId="22" fillId="5" borderId="28" xfId="2" applyFont="1" applyFill="1" applyBorder="1" applyAlignment="1">
      <alignment vertical="center"/>
    </xf>
    <xf numFmtId="3" fontId="22" fillId="5" borderId="1" xfId="0" applyNumberFormat="1" applyFont="1" applyFill="1" applyBorder="1" applyAlignment="1">
      <alignment horizontal="right" vertical="center" wrapText="1"/>
    </xf>
    <xf numFmtId="3" fontId="22" fillId="5" borderId="31" xfId="0" applyNumberFormat="1" applyFont="1" applyFill="1" applyBorder="1" applyAlignment="1">
      <alignment horizontal="right" vertical="center" wrapText="1"/>
    </xf>
    <xf numFmtId="0" fontId="25" fillId="0" borderId="28" xfId="0" applyFont="1" applyFill="1" applyBorder="1" applyAlignment="1">
      <alignment vertical="center" wrapText="1"/>
    </xf>
    <xf numFmtId="3" fontId="25" fillId="0" borderId="32" xfId="0" applyNumberFormat="1" applyFont="1" applyFill="1" applyBorder="1" applyAlignment="1">
      <alignment vertical="center" wrapText="1"/>
    </xf>
    <xf numFmtId="0" fontId="25" fillId="0" borderId="23" xfId="0" applyFont="1" applyFill="1" applyBorder="1" applyAlignment="1">
      <alignment vertical="center" wrapText="1"/>
    </xf>
    <xf numFmtId="0" fontId="25" fillId="0" borderId="23" xfId="0" applyFont="1" applyFill="1" applyBorder="1" applyAlignment="1">
      <alignment vertical="center"/>
    </xf>
    <xf numFmtId="0" fontId="22" fillId="5" borderId="28" xfId="2" applyFont="1" applyFill="1" applyBorder="1" applyAlignment="1">
      <alignment vertical="center" wrapText="1"/>
    </xf>
    <xf numFmtId="3" fontId="22" fillId="5" borderId="31" xfId="0" applyNumberFormat="1" applyFont="1" applyFill="1" applyBorder="1" applyAlignment="1">
      <alignment vertical="center" wrapText="1"/>
    </xf>
    <xf numFmtId="165" fontId="22" fillId="5" borderId="30" xfId="0" applyNumberFormat="1" applyFont="1" applyFill="1" applyBorder="1" applyAlignment="1">
      <alignment horizontal="right" vertical="center" wrapText="1"/>
    </xf>
    <xf numFmtId="165" fontId="22" fillId="5" borderId="59" xfId="0" applyNumberFormat="1" applyFont="1" applyFill="1" applyBorder="1" applyAlignment="1">
      <alignment horizontal="right" vertical="center" wrapText="1"/>
    </xf>
    <xf numFmtId="3" fontId="27" fillId="5" borderId="138" xfId="0" applyNumberFormat="1" applyFont="1" applyFill="1" applyBorder="1" applyAlignment="1">
      <alignment vertical="center" wrapText="1"/>
    </xf>
    <xf numFmtId="3" fontId="15" fillId="4" borderId="31" xfId="0" applyNumberFormat="1" applyFont="1" applyFill="1" applyBorder="1" applyAlignment="1">
      <alignment vertical="center" wrapText="1"/>
    </xf>
    <xf numFmtId="165" fontId="15" fillId="4" borderId="5" xfId="0" applyNumberFormat="1" applyFont="1" applyFill="1" applyBorder="1" applyAlignment="1">
      <alignment horizontal="right" vertical="center" wrapText="1"/>
    </xf>
    <xf numFmtId="165" fontId="15" fillId="4" borderId="58" xfId="0" applyNumberFormat="1" applyFont="1" applyFill="1" applyBorder="1" applyAlignment="1">
      <alignment horizontal="right" vertical="center" wrapText="1"/>
    </xf>
    <xf numFmtId="3" fontId="25" fillId="2" borderId="29" xfId="0" applyNumberFormat="1" applyFont="1" applyFill="1" applyBorder="1" applyAlignment="1">
      <alignment vertical="center" wrapText="1"/>
    </xf>
    <xf numFmtId="3" fontId="25" fillId="2" borderId="28" xfId="0" applyNumberFormat="1" applyFont="1" applyFill="1" applyBorder="1" applyAlignment="1">
      <alignment vertical="center" wrapText="1"/>
    </xf>
    <xf numFmtId="3" fontId="25" fillId="2" borderId="32" xfId="0" applyNumberFormat="1" applyFont="1" applyFill="1" applyBorder="1" applyAlignment="1">
      <alignment vertical="center" wrapText="1"/>
    </xf>
    <xf numFmtId="0" fontId="25" fillId="0" borderId="28" xfId="0" applyFont="1" applyFill="1" applyBorder="1" applyAlignment="1">
      <alignment vertical="center"/>
    </xf>
    <xf numFmtId="3" fontId="17" fillId="0" borderId="97" xfId="0" applyNumberFormat="1" applyFont="1" applyFill="1" applyBorder="1" applyAlignment="1">
      <alignment vertical="center" wrapText="1"/>
    </xf>
    <xf numFmtId="0" fontId="22" fillId="5" borderId="23" xfId="2" applyFont="1" applyFill="1" applyBorder="1" applyAlignment="1">
      <alignment vertical="center" wrapText="1"/>
    </xf>
    <xf numFmtId="165" fontId="22" fillId="5" borderId="5" xfId="0" applyNumberFormat="1" applyFont="1" applyFill="1" applyBorder="1" applyAlignment="1">
      <alignment horizontal="right" vertical="center" wrapText="1"/>
    </xf>
    <xf numFmtId="165" fontId="22" fillId="5" borderId="58" xfId="0" applyNumberFormat="1" applyFont="1" applyFill="1" applyBorder="1" applyAlignment="1">
      <alignment horizontal="right" vertical="center" wrapText="1"/>
    </xf>
    <xf numFmtId="0" fontId="25" fillId="0" borderId="34" xfId="0" applyFont="1" applyFill="1" applyBorder="1" applyAlignment="1">
      <alignment vertical="center" wrapText="1"/>
    </xf>
    <xf numFmtId="3" fontId="25" fillId="0" borderId="17" xfId="0" applyNumberFormat="1" applyFont="1" applyFill="1" applyBorder="1" applyAlignment="1">
      <alignment vertical="center" wrapText="1"/>
    </xf>
    <xf numFmtId="3" fontId="25" fillId="0" borderId="49" xfId="0" applyNumberFormat="1" applyFont="1" applyFill="1" applyBorder="1" applyAlignment="1">
      <alignment vertical="center" wrapText="1"/>
    </xf>
    <xf numFmtId="3" fontId="17" fillId="0" borderId="146" xfId="0" applyNumberFormat="1" applyFont="1" applyFill="1" applyBorder="1" applyAlignment="1">
      <alignment vertical="center" wrapText="1"/>
    </xf>
    <xf numFmtId="0" fontId="5" fillId="2" borderId="21" xfId="0" applyFont="1" applyFill="1" applyBorder="1" applyAlignment="1">
      <alignment horizontal="center" vertical="center" wrapText="1"/>
    </xf>
    <xf numFmtId="3" fontId="17" fillId="0" borderId="0" xfId="0" applyNumberFormat="1" applyFont="1" applyFill="1" applyBorder="1" applyAlignment="1">
      <alignment vertical="center" wrapText="1"/>
    </xf>
    <xf numFmtId="3" fontId="17" fillId="0" borderId="12" xfId="0" applyNumberFormat="1" applyFont="1" applyFill="1" applyBorder="1" applyAlignment="1">
      <alignment vertical="center" wrapText="1"/>
    </xf>
    <xf numFmtId="3" fontId="14" fillId="6" borderId="47" xfId="0" applyNumberFormat="1" applyFont="1" applyFill="1" applyBorder="1" applyAlignment="1">
      <alignment vertical="center" wrapText="1"/>
    </xf>
    <xf numFmtId="3" fontId="14" fillId="6" borderId="48" xfId="0" applyNumberFormat="1" applyFont="1" applyFill="1" applyBorder="1" applyAlignment="1">
      <alignment vertical="center" wrapText="1"/>
    </xf>
    <xf numFmtId="3" fontId="14" fillId="6" borderId="15" xfId="0" applyNumberFormat="1" applyFont="1" applyFill="1" applyBorder="1" applyAlignment="1">
      <alignment vertical="center" wrapText="1"/>
    </xf>
    <xf numFmtId="3" fontId="14" fillId="6" borderId="17" xfId="0" applyNumberFormat="1" applyFont="1" applyFill="1" applyBorder="1" applyAlignment="1">
      <alignment vertical="center" wrapText="1"/>
    </xf>
    <xf numFmtId="3" fontId="14" fillId="6" borderId="13" xfId="0" applyNumberFormat="1" applyFont="1" applyFill="1" applyBorder="1" applyAlignment="1">
      <alignment vertical="center" wrapText="1"/>
    </xf>
    <xf numFmtId="3" fontId="14" fillId="6" borderId="49" xfId="0" applyNumberFormat="1" applyFont="1" applyFill="1" applyBorder="1" applyAlignment="1">
      <alignment vertical="center" wrapText="1"/>
    </xf>
    <xf numFmtId="164" fontId="14" fillId="6" borderId="15" xfId="0" applyNumberFormat="1" applyFont="1" applyFill="1" applyBorder="1" applyAlignment="1">
      <alignment vertical="center" wrapText="1"/>
    </xf>
    <xf numFmtId="3" fontId="14" fillId="7" borderId="40" xfId="0" applyNumberFormat="1" applyFont="1" applyFill="1" applyBorder="1" applyAlignment="1">
      <alignment vertical="center" wrapText="1"/>
    </xf>
    <xf numFmtId="3" fontId="14" fillId="7" borderId="38" xfId="0" applyNumberFormat="1" applyFont="1" applyFill="1" applyBorder="1" applyAlignment="1">
      <alignment vertical="center" wrapText="1"/>
    </xf>
    <xf numFmtId="3" fontId="14" fillId="7" borderId="51" xfId="0" applyNumberFormat="1" applyFont="1" applyFill="1" applyBorder="1" applyAlignment="1">
      <alignment vertical="center" wrapText="1"/>
    </xf>
    <xf numFmtId="3" fontId="14" fillId="7" borderId="47" xfId="0" applyNumberFormat="1" applyFont="1" applyFill="1" applyBorder="1" applyAlignment="1">
      <alignment vertical="center" wrapText="1"/>
    </xf>
    <xf numFmtId="164" fontId="14" fillId="7" borderId="40" xfId="0" applyNumberFormat="1" applyFont="1" applyFill="1" applyBorder="1" applyAlignment="1">
      <alignment vertical="center" wrapText="1"/>
    </xf>
    <xf numFmtId="3" fontId="14" fillId="7" borderId="48" xfId="0" applyNumberFormat="1" applyFont="1" applyFill="1" applyBorder="1" applyAlignment="1">
      <alignment vertical="center" wrapText="1"/>
    </xf>
    <xf numFmtId="3" fontId="14" fillId="7" borderId="15" xfId="0" applyNumberFormat="1" applyFont="1" applyFill="1" applyBorder="1" applyAlignment="1">
      <alignment vertical="center" wrapText="1"/>
    </xf>
    <xf numFmtId="3" fontId="14" fillId="7" borderId="17" xfId="0" applyNumberFormat="1" applyFont="1" applyFill="1" applyBorder="1" applyAlignment="1">
      <alignment vertical="center" wrapText="1"/>
    </xf>
    <xf numFmtId="3" fontId="14" fillId="7" borderId="13" xfId="0" applyNumberFormat="1" applyFont="1" applyFill="1" applyBorder="1" applyAlignment="1">
      <alignment vertical="center" wrapText="1"/>
    </xf>
    <xf numFmtId="3" fontId="14" fillId="7" borderId="49" xfId="0" applyNumberFormat="1" applyFont="1" applyFill="1" applyBorder="1" applyAlignment="1">
      <alignment vertical="center" wrapText="1"/>
    </xf>
    <xf numFmtId="164" fontId="14" fillId="7" borderId="15" xfId="0" applyNumberFormat="1" applyFont="1" applyFill="1" applyBorder="1" applyAlignment="1">
      <alignment vertical="center" wrapText="1"/>
    </xf>
    <xf numFmtId="3" fontId="14" fillId="7" borderId="45" xfId="0" applyNumberFormat="1" applyFont="1" applyFill="1" applyBorder="1" applyAlignment="1">
      <alignment vertical="center" wrapText="1"/>
    </xf>
    <xf numFmtId="3" fontId="21" fillId="0" borderId="0" xfId="0" applyNumberFormat="1" applyFont="1" applyFill="1" applyBorder="1" applyAlignment="1">
      <alignment horizontal="right" vertical="center" wrapText="1"/>
    </xf>
    <xf numFmtId="0" fontId="25" fillId="0" borderId="0" xfId="0" applyFont="1" applyBorder="1"/>
    <xf numFmtId="3" fontId="7" fillId="0" borderId="0" xfId="0" applyNumberFormat="1" applyFont="1" applyBorder="1"/>
    <xf numFmtId="3" fontId="25" fillId="0" borderId="0" xfId="0" applyNumberFormat="1" applyFont="1" applyBorder="1"/>
    <xf numFmtId="0" fontId="7" fillId="0" borderId="42" xfId="0" applyFont="1" applyBorder="1" applyAlignment="1">
      <alignment horizontal="center" vertical="center"/>
    </xf>
    <xf numFmtId="0" fontId="20" fillId="0" borderId="21" xfId="0" applyFont="1" applyBorder="1" applyAlignment="1">
      <alignment wrapText="1"/>
    </xf>
    <xf numFmtId="0" fontId="7" fillId="0" borderId="21" xfId="0" applyFont="1" applyBorder="1"/>
    <xf numFmtId="0" fontId="25" fillId="0" borderId="21" xfId="0" applyFont="1" applyBorder="1"/>
    <xf numFmtId="0" fontId="7" fillId="0" borderId="50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14" xfId="0" applyFont="1" applyBorder="1"/>
    <xf numFmtId="0" fontId="25" fillId="0" borderId="14" xfId="0" applyFont="1" applyBorder="1"/>
    <xf numFmtId="0" fontId="7" fillId="0" borderId="12" xfId="0" applyFont="1" applyBorder="1"/>
    <xf numFmtId="0" fontId="28" fillId="2" borderId="0" xfId="0" applyFont="1" applyFill="1" applyAlignment="1">
      <alignment vertical="top"/>
    </xf>
    <xf numFmtId="0" fontId="28" fillId="2" borderId="0" xfId="0" applyFont="1" applyFill="1" applyBorder="1" applyAlignment="1"/>
    <xf numFmtId="0" fontId="29" fillId="2" borderId="0" xfId="0" applyFont="1" applyFill="1" applyBorder="1" applyAlignment="1">
      <alignment vertical="top"/>
    </xf>
    <xf numFmtId="0" fontId="28" fillId="2" borderId="0" xfId="0" applyFont="1" applyFill="1" applyBorder="1" applyAlignment="1">
      <alignment vertical="top"/>
    </xf>
    <xf numFmtId="3" fontId="28" fillId="2" borderId="0" xfId="0" applyNumberFormat="1" applyFont="1" applyFill="1" applyBorder="1" applyAlignment="1">
      <alignment horizontal="left" vertical="top"/>
    </xf>
    <xf numFmtId="0" fontId="30" fillId="2" borderId="0" xfId="0" applyFont="1" applyFill="1" applyBorder="1" applyAlignment="1">
      <alignment horizontal="right" vertical="center"/>
    </xf>
    <xf numFmtId="0" fontId="28" fillId="0" borderId="0" xfId="0" applyFont="1" applyFill="1" applyAlignment="1">
      <alignment vertical="top"/>
    </xf>
    <xf numFmtId="0" fontId="29" fillId="0" borderId="0" xfId="0" applyFont="1" applyFill="1" applyAlignment="1">
      <alignment vertical="top"/>
    </xf>
    <xf numFmtId="0" fontId="28" fillId="10" borderId="0" xfId="0" applyFont="1" applyFill="1" applyAlignment="1">
      <alignment vertical="top"/>
    </xf>
    <xf numFmtId="0" fontId="8" fillId="2" borderId="0" xfId="0" applyFont="1" applyFill="1" applyBorder="1" applyAlignment="1"/>
    <xf numFmtId="0" fontId="31" fillId="0" borderId="0" xfId="0" applyFont="1" applyFill="1" applyAlignment="1">
      <alignment horizontal="left"/>
    </xf>
    <xf numFmtId="0" fontId="32" fillId="2" borderId="14" xfId="0" applyFont="1" applyFill="1" applyBorder="1" applyAlignment="1">
      <alignment vertical="center"/>
    </xf>
    <xf numFmtId="0" fontId="28" fillId="2" borderId="14" xfId="0" applyFont="1" applyFill="1" applyBorder="1" applyAlignment="1">
      <alignment vertical="center"/>
    </xf>
    <xf numFmtId="0" fontId="29" fillId="2" borderId="14" xfId="0" applyFont="1" applyFill="1" applyBorder="1" applyAlignment="1">
      <alignment vertical="center"/>
    </xf>
    <xf numFmtId="3" fontId="28" fillId="2" borderId="14" xfId="0" applyNumberFormat="1" applyFont="1" applyFill="1" applyBorder="1" applyAlignment="1">
      <alignment horizontal="left" vertical="center"/>
    </xf>
    <xf numFmtId="3" fontId="28" fillId="2" borderId="14" xfId="0" applyNumberFormat="1" applyFont="1" applyFill="1" applyBorder="1" applyAlignment="1">
      <alignment vertical="center"/>
    </xf>
    <xf numFmtId="0" fontId="30" fillId="2" borderId="100" xfId="0" applyFont="1" applyFill="1" applyBorder="1" applyAlignment="1">
      <alignment horizontal="right" vertical="center"/>
    </xf>
    <xf numFmtId="0" fontId="28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28" fillId="10" borderId="0" xfId="0" applyFont="1" applyFill="1" applyAlignment="1">
      <alignment vertical="center"/>
    </xf>
    <xf numFmtId="0" fontId="16" fillId="0" borderId="0" xfId="0" applyFont="1" applyFill="1"/>
    <xf numFmtId="0" fontId="17" fillId="0" borderId="47" xfId="0" applyFont="1" applyBorder="1" applyAlignment="1">
      <alignment horizontal="center" vertical="top"/>
    </xf>
    <xf numFmtId="0" fontId="17" fillId="0" borderId="40" xfId="0" applyFont="1" applyBorder="1" applyAlignment="1">
      <alignment horizontal="center" vertical="top"/>
    </xf>
    <xf numFmtId="0" fontId="29" fillId="0" borderId="37" xfId="0" quotePrefix="1" applyFont="1" applyBorder="1" applyAlignment="1">
      <alignment horizontal="center" vertical="top"/>
    </xf>
    <xf numFmtId="0" fontId="17" fillId="0" borderId="40" xfId="0" quotePrefix="1" applyFont="1" applyBorder="1" applyAlignment="1">
      <alignment horizontal="center" vertical="top"/>
    </xf>
    <xf numFmtId="0" fontId="17" fillId="2" borderId="40" xfId="0" quotePrefix="1" applyFont="1" applyFill="1" applyBorder="1" applyAlignment="1">
      <alignment horizontal="center" vertical="top"/>
    </xf>
    <xf numFmtId="0" fontId="17" fillId="2" borderId="52" xfId="0" quotePrefix="1" applyFont="1" applyFill="1" applyBorder="1" applyAlignment="1">
      <alignment horizontal="center" vertical="top"/>
    </xf>
    <xf numFmtId="0" fontId="17" fillId="2" borderId="39" xfId="0" quotePrefix="1" applyFont="1" applyFill="1" applyBorder="1" applyAlignment="1">
      <alignment horizontal="center" vertical="top"/>
    </xf>
    <xf numFmtId="0" fontId="29" fillId="2" borderId="52" xfId="0" quotePrefix="1" applyFont="1" applyFill="1" applyBorder="1" applyAlignment="1">
      <alignment horizontal="center" vertical="top"/>
    </xf>
    <xf numFmtId="0" fontId="17" fillId="0" borderId="0" xfId="0" applyFont="1" applyFill="1" applyAlignment="1">
      <alignment vertical="top"/>
    </xf>
    <xf numFmtId="0" fontId="17" fillId="0" borderId="0" xfId="0" applyFont="1" applyAlignment="1">
      <alignment vertical="top"/>
    </xf>
    <xf numFmtId="0" fontId="25" fillId="0" borderId="19" xfId="0" applyFont="1" applyBorder="1" applyAlignment="1">
      <alignment vertical="top"/>
    </xf>
    <xf numFmtId="0" fontId="22" fillId="0" borderId="116" xfId="0" applyFont="1" applyBorder="1" applyAlignment="1">
      <alignment horizontal="left" vertical="center"/>
    </xf>
    <xf numFmtId="0" fontId="10" fillId="0" borderId="122" xfId="0" quotePrefix="1" applyFont="1" applyBorder="1" applyAlignment="1">
      <alignment horizontal="center" vertical="center"/>
    </xf>
    <xf numFmtId="3" fontId="22" fillId="2" borderId="130" xfId="0" quotePrefix="1" applyNumberFormat="1" applyFont="1" applyFill="1" applyBorder="1" applyAlignment="1">
      <alignment vertical="center"/>
    </xf>
    <xf numFmtId="165" fontId="6" fillId="0" borderId="116" xfId="2" applyNumberFormat="1" applyFont="1" applyFill="1" applyBorder="1" applyAlignment="1">
      <alignment horizontal="right" vertical="center"/>
    </xf>
    <xf numFmtId="3" fontId="6" fillId="2" borderId="116" xfId="0" quotePrefix="1" applyNumberFormat="1" applyFont="1" applyFill="1" applyBorder="1" applyAlignment="1">
      <alignment vertical="center"/>
    </xf>
    <xf numFmtId="0" fontId="35" fillId="0" borderId="96" xfId="0" applyFont="1" applyBorder="1"/>
    <xf numFmtId="0" fontId="29" fillId="2" borderId="0" xfId="0" quotePrefix="1" applyFont="1" applyFill="1" applyBorder="1" applyAlignment="1">
      <alignment horizontal="center" vertical="top"/>
    </xf>
    <xf numFmtId="0" fontId="29" fillId="0" borderId="0" xfId="0" applyFont="1" applyAlignment="1">
      <alignment vertical="top"/>
    </xf>
    <xf numFmtId="0" fontId="25" fillId="0" borderId="9" xfId="0" applyFont="1" applyBorder="1" applyAlignment="1">
      <alignment vertical="top"/>
    </xf>
    <xf numFmtId="0" fontId="22" fillId="0" borderId="119" xfId="0" applyFont="1" applyBorder="1" applyAlignment="1">
      <alignment horizontal="left" vertical="top"/>
    </xf>
    <xf numFmtId="0" fontId="30" fillId="0" borderId="123" xfId="0" quotePrefix="1" applyFont="1" applyBorder="1" applyAlignment="1">
      <alignment horizontal="center" vertical="top"/>
    </xf>
    <xf numFmtId="43" fontId="22" fillId="2" borderId="119" xfId="1" quotePrefix="1" applyFont="1" applyFill="1" applyBorder="1" applyAlignment="1">
      <alignment vertical="top"/>
    </xf>
    <xf numFmtId="43" fontId="22" fillId="2" borderId="133" xfId="1" quotePrefix="1" applyFont="1" applyFill="1" applyBorder="1" applyAlignment="1">
      <alignment vertical="top"/>
    </xf>
    <xf numFmtId="43" fontId="22" fillId="2" borderId="120" xfId="1" quotePrefix="1" applyFont="1" applyFill="1" applyBorder="1" applyAlignment="1">
      <alignment vertical="top"/>
    </xf>
    <xf numFmtId="43" fontId="22" fillId="2" borderId="132" xfId="1" quotePrefix="1" applyFont="1" applyFill="1" applyBorder="1" applyAlignment="1">
      <alignment vertical="top"/>
    </xf>
    <xf numFmtId="43" fontId="22" fillId="2" borderId="131" xfId="1" quotePrefix="1" applyFont="1" applyFill="1" applyBorder="1" applyAlignment="1">
      <alignment vertical="top"/>
    </xf>
    <xf numFmtId="43" fontId="6" fillId="0" borderId="119" xfId="1" applyFont="1" applyFill="1" applyBorder="1" applyAlignment="1">
      <alignment horizontal="right" vertical="center"/>
    </xf>
    <xf numFmtId="43" fontId="6" fillId="2" borderId="131" xfId="1" quotePrefix="1" applyFont="1" applyFill="1" applyBorder="1" applyAlignment="1">
      <alignment vertical="top"/>
    </xf>
    <xf numFmtId="0" fontId="25" fillId="0" borderId="13" xfId="0" applyFont="1" applyBorder="1" applyAlignment="1">
      <alignment vertical="top"/>
    </xf>
    <xf numFmtId="0" fontId="22" fillId="0" borderId="15" xfId="0" applyFont="1" applyBorder="1" applyAlignment="1">
      <alignment horizontal="left" vertical="top"/>
    </xf>
    <xf numFmtId="0" fontId="30" fillId="0" borderId="17" xfId="0" quotePrefix="1" applyFont="1" applyBorder="1" applyAlignment="1">
      <alignment horizontal="center" vertical="top"/>
    </xf>
    <xf numFmtId="3" fontId="22" fillId="2" borderId="35" xfId="0" quotePrefix="1" applyNumberFormat="1" applyFont="1" applyFill="1" applyBorder="1" applyAlignment="1">
      <alignment vertical="top"/>
    </xf>
    <xf numFmtId="3" fontId="22" fillId="2" borderId="114" xfId="0" quotePrefix="1" applyNumberFormat="1" applyFont="1" applyFill="1" applyBorder="1" applyAlignment="1">
      <alignment vertical="top"/>
    </xf>
    <xf numFmtId="3" fontId="22" fillId="2" borderId="136" xfId="0" quotePrefix="1" applyNumberFormat="1" applyFont="1" applyFill="1" applyBorder="1" applyAlignment="1">
      <alignment vertical="top"/>
    </xf>
    <xf numFmtId="165" fontId="6" fillId="0" borderId="114" xfId="2" applyNumberFormat="1" applyFont="1" applyFill="1" applyBorder="1" applyAlignment="1">
      <alignment horizontal="right" vertical="center"/>
    </xf>
    <xf numFmtId="3" fontId="6" fillId="2" borderId="35" xfId="0" quotePrefix="1" applyNumberFormat="1" applyFont="1" applyFill="1" applyBorder="1" applyAlignment="1">
      <alignment vertical="top"/>
    </xf>
    <xf numFmtId="165" fontId="6" fillId="0" borderId="35" xfId="2" applyNumberFormat="1" applyFont="1" applyFill="1" applyBorder="1" applyAlignment="1">
      <alignment horizontal="right" vertical="center"/>
    </xf>
    <xf numFmtId="3" fontId="22" fillId="2" borderId="15" xfId="0" quotePrefix="1" applyNumberFormat="1" applyFont="1" applyFill="1" applyBorder="1" applyAlignment="1">
      <alignment vertical="top"/>
    </xf>
    <xf numFmtId="0" fontId="15" fillId="4" borderId="30" xfId="2" applyFont="1" applyFill="1" applyBorder="1" applyAlignment="1">
      <alignment horizontal="left" vertical="center"/>
    </xf>
    <xf numFmtId="0" fontId="20" fillId="4" borderId="29" xfId="2" applyFont="1" applyFill="1" applyBorder="1" applyAlignment="1">
      <alignment horizontal="left" vertical="center"/>
    </xf>
    <xf numFmtId="3" fontId="15" fillId="4" borderId="30" xfId="0" applyNumberFormat="1" applyFont="1" applyFill="1" applyBorder="1" applyAlignment="1">
      <alignment vertical="top"/>
    </xf>
    <xf numFmtId="3" fontId="15" fillId="4" borderId="27" xfId="0" applyNumberFormat="1" applyFont="1" applyFill="1" applyBorder="1" applyAlignment="1">
      <alignment vertical="top"/>
    </xf>
    <xf numFmtId="3" fontId="15" fillId="4" borderId="59" xfId="0" applyNumberFormat="1" applyFont="1" applyFill="1" applyBorder="1" applyAlignment="1">
      <alignment vertical="top"/>
    </xf>
    <xf numFmtId="3" fontId="15" fillId="4" borderId="1" xfId="0" applyNumberFormat="1" applyFont="1" applyFill="1" applyBorder="1" applyAlignment="1">
      <alignment vertical="top"/>
    </xf>
    <xf numFmtId="164" fontId="5" fillId="4" borderId="30" xfId="0" applyNumberFormat="1" applyFont="1" applyFill="1" applyBorder="1" applyAlignment="1">
      <alignment vertical="top"/>
    </xf>
    <xf numFmtId="3" fontId="5" fillId="4" borderId="30" xfId="0" applyNumberFormat="1" applyFont="1" applyFill="1" applyBorder="1" applyAlignment="1">
      <alignment vertical="top"/>
    </xf>
    <xf numFmtId="3" fontId="29" fillId="0" borderId="0" xfId="0" applyNumberFormat="1" applyFont="1" applyFill="1" applyAlignment="1">
      <alignment vertical="top"/>
    </xf>
    <xf numFmtId="0" fontId="29" fillId="10" borderId="0" xfId="0" applyFont="1" applyFill="1" applyAlignment="1">
      <alignment vertical="top"/>
    </xf>
    <xf numFmtId="0" fontId="22" fillId="5" borderId="5" xfId="2" applyFont="1" applyFill="1" applyBorder="1" applyAlignment="1">
      <alignment vertical="center"/>
    </xf>
    <xf numFmtId="3" fontId="22" fillId="5" borderId="5" xfId="0" applyNumberFormat="1" applyFont="1" applyFill="1" applyBorder="1" applyAlignment="1">
      <alignment vertical="top"/>
    </xf>
    <xf numFmtId="3" fontId="22" fillId="5" borderId="24" xfId="0" applyNumberFormat="1" applyFont="1" applyFill="1" applyBorder="1" applyAlignment="1">
      <alignment vertical="top"/>
    </xf>
    <xf numFmtId="3" fontId="22" fillId="5" borderId="58" xfId="0" applyNumberFormat="1" applyFont="1" applyFill="1" applyBorder="1" applyAlignment="1">
      <alignment vertical="top"/>
    </xf>
    <xf numFmtId="3" fontId="22" fillId="5" borderId="26" xfId="0" applyNumberFormat="1" applyFont="1" applyFill="1" applyBorder="1" applyAlignment="1">
      <alignment vertical="top"/>
    </xf>
    <xf numFmtId="164" fontId="6" fillId="5" borderId="5" xfId="0" applyNumberFormat="1" applyFont="1" applyFill="1" applyBorder="1" applyAlignment="1">
      <alignment vertical="top"/>
    </xf>
    <xf numFmtId="3" fontId="6" fillId="5" borderId="5" xfId="0" applyNumberFormat="1" applyFont="1" applyFill="1" applyBorder="1" applyAlignment="1">
      <alignment vertical="top"/>
    </xf>
    <xf numFmtId="0" fontId="25" fillId="5" borderId="5" xfId="2" applyFont="1" applyFill="1" applyBorder="1" applyAlignment="1">
      <alignment vertical="center"/>
    </xf>
    <xf numFmtId="3" fontId="25" fillId="5" borderId="5" xfId="0" applyNumberFormat="1" applyFont="1" applyFill="1" applyBorder="1" applyAlignment="1">
      <alignment vertical="top"/>
    </xf>
    <xf numFmtId="3" fontId="25" fillId="5" borderId="24" xfId="0" applyNumberFormat="1" applyFont="1" applyFill="1" applyBorder="1" applyAlignment="1">
      <alignment vertical="top"/>
    </xf>
    <xf numFmtId="43" fontId="25" fillId="5" borderId="24" xfId="1" applyFont="1" applyFill="1" applyBorder="1" applyAlignment="1">
      <alignment vertical="top"/>
    </xf>
    <xf numFmtId="43" fontId="25" fillId="5" borderId="58" xfId="1" applyFont="1" applyFill="1" applyBorder="1" applyAlignment="1">
      <alignment vertical="top"/>
    </xf>
    <xf numFmtId="3" fontId="25" fillId="5" borderId="58" xfId="0" applyNumberFormat="1" applyFont="1" applyFill="1" applyBorder="1" applyAlignment="1">
      <alignment vertical="top"/>
    </xf>
    <xf numFmtId="3" fontId="25" fillId="5" borderId="26" xfId="0" applyNumberFormat="1" applyFont="1" applyFill="1" applyBorder="1" applyAlignment="1">
      <alignment vertical="top"/>
    </xf>
    <xf numFmtId="3" fontId="7" fillId="5" borderId="5" xfId="0" applyNumberFormat="1" applyFont="1" applyFill="1" applyBorder="1" applyAlignment="1">
      <alignment vertical="top"/>
    </xf>
    <xf numFmtId="43" fontId="6" fillId="5" borderId="5" xfId="1" applyFont="1" applyFill="1" applyBorder="1" applyAlignment="1">
      <alignment vertical="top"/>
    </xf>
    <xf numFmtId="0" fontId="25" fillId="5" borderId="5" xfId="0" applyFont="1" applyFill="1" applyBorder="1" applyAlignment="1">
      <alignment vertical="top"/>
    </xf>
    <xf numFmtId="3" fontId="25" fillId="5" borderId="23" xfId="0" applyNumberFormat="1" applyFont="1" applyFill="1" applyBorder="1" applyAlignment="1">
      <alignment vertical="top"/>
    </xf>
    <xf numFmtId="164" fontId="7" fillId="5" borderId="5" xfId="0" applyNumberFormat="1" applyFont="1" applyFill="1" applyBorder="1" applyAlignment="1">
      <alignment vertical="top"/>
    </xf>
    <xf numFmtId="3" fontId="25" fillId="5" borderId="25" xfId="0" applyNumberFormat="1" applyFont="1" applyFill="1" applyBorder="1" applyAlignment="1">
      <alignment vertical="top"/>
    </xf>
    <xf numFmtId="0" fontId="15" fillId="4" borderId="5" xfId="2" applyFont="1" applyFill="1" applyBorder="1" applyAlignment="1">
      <alignment horizontal="left" vertical="center"/>
    </xf>
    <xf numFmtId="0" fontId="20" fillId="4" borderId="25" xfId="2" applyFont="1" applyFill="1" applyBorder="1" applyAlignment="1">
      <alignment horizontal="left" vertical="center"/>
    </xf>
    <xf numFmtId="3" fontId="15" fillId="4" borderId="5" xfId="0" applyNumberFormat="1" applyFont="1" applyFill="1" applyBorder="1" applyAlignment="1">
      <alignment vertical="top"/>
    </xf>
    <xf numFmtId="3" fontId="15" fillId="4" borderId="58" xfId="0" applyNumberFormat="1" applyFont="1" applyFill="1" applyBorder="1" applyAlignment="1">
      <alignment vertical="top"/>
    </xf>
    <xf numFmtId="3" fontId="15" fillId="4" borderId="24" xfId="0" applyNumberFormat="1" applyFont="1" applyFill="1" applyBorder="1" applyAlignment="1">
      <alignment vertical="top"/>
    </xf>
    <xf numFmtId="3" fontId="15" fillId="4" borderId="26" xfId="0" applyNumberFormat="1" applyFont="1" applyFill="1" applyBorder="1" applyAlignment="1">
      <alignment vertical="top"/>
    </xf>
    <xf numFmtId="164" fontId="5" fillId="4" borderId="5" xfId="0" applyNumberFormat="1" applyFont="1" applyFill="1" applyBorder="1" applyAlignment="1">
      <alignment vertical="top"/>
    </xf>
    <xf numFmtId="3" fontId="5" fillId="4" borderId="5" xfId="0" applyNumberFormat="1" applyFont="1" applyFill="1" applyBorder="1" applyAlignment="1">
      <alignment vertical="top"/>
    </xf>
    <xf numFmtId="3" fontId="22" fillId="5" borderId="25" xfId="0" applyNumberFormat="1" applyFont="1" applyFill="1" applyBorder="1" applyAlignment="1">
      <alignment vertical="top"/>
    </xf>
    <xf numFmtId="0" fontId="22" fillId="5" borderId="30" xfId="2" applyFont="1" applyFill="1" applyBorder="1" applyAlignment="1">
      <alignment vertical="center"/>
    </xf>
    <xf numFmtId="3" fontId="22" fillId="5" borderId="30" xfId="0" applyNumberFormat="1" applyFont="1" applyFill="1" applyBorder="1" applyAlignment="1">
      <alignment vertical="top"/>
    </xf>
    <xf numFmtId="3" fontId="22" fillId="5" borderId="59" xfId="0" applyNumberFormat="1" applyFont="1" applyFill="1" applyBorder="1" applyAlignment="1">
      <alignment vertical="top"/>
    </xf>
    <xf numFmtId="3" fontId="22" fillId="5" borderId="27" xfId="0" applyNumberFormat="1" applyFont="1" applyFill="1" applyBorder="1" applyAlignment="1">
      <alignment vertical="top"/>
    </xf>
    <xf numFmtId="3" fontId="22" fillId="5" borderId="29" xfId="0" applyNumberFormat="1" applyFont="1" applyFill="1" applyBorder="1" applyAlignment="1">
      <alignment vertical="top"/>
    </xf>
    <xf numFmtId="164" fontId="6" fillId="5" borderId="30" xfId="0" applyNumberFormat="1" applyFont="1" applyFill="1" applyBorder="1" applyAlignment="1">
      <alignment vertical="top"/>
    </xf>
    <xf numFmtId="3" fontId="6" fillId="5" borderId="30" xfId="0" applyNumberFormat="1" applyFont="1" applyFill="1" applyBorder="1" applyAlignment="1">
      <alignment vertical="top"/>
    </xf>
    <xf numFmtId="0" fontId="25" fillId="5" borderId="35" xfId="2" applyFont="1" applyFill="1" applyBorder="1" applyAlignment="1">
      <alignment vertical="center"/>
    </xf>
    <xf numFmtId="3" fontId="25" fillId="5" borderId="35" xfId="0" applyNumberFormat="1" applyFont="1" applyFill="1" applyBorder="1" applyAlignment="1">
      <alignment vertical="top"/>
    </xf>
    <xf numFmtId="3" fontId="25" fillId="5" borderId="46" xfId="0" applyNumberFormat="1" applyFont="1" applyFill="1" applyBorder="1" applyAlignment="1">
      <alignment vertical="top"/>
    </xf>
    <xf numFmtId="3" fontId="25" fillId="5" borderId="113" xfId="0" applyNumberFormat="1" applyFont="1" applyFill="1" applyBorder="1" applyAlignment="1">
      <alignment vertical="top"/>
    </xf>
    <xf numFmtId="3" fontId="25" fillId="5" borderId="114" xfId="0" applyNumberFormat="1" applyFont="1" applyFill="1" applyBorder="1" applyAlignment="1">
      <alignment vertical="top"/>
    </xf>
    <xf numFmtId="164" fontId="7" fillId="5" borderId="35" xfId="0" applyNumberFormat="1" applyFont="1" applyFill="1" applyBorder="1" applyAlignment="1">
      <alignment vertical="top"/>
    </xf>
    <xf numFmtId="3" fontId="7" fillId="5" borderId="35" xfId="0" applyNumberFormat="1" applyFont="1" applyFill="1" applyBorder="1" applyAlignment="1">
      <alignment vertical="top"/>
    </xf>
    <xf numFmtId="0" fontId="15" fillId="14" borderId="54" xfId="0" applyFont="1" applyFill="1" applyBorder="1" applyAlignment="1">
      <alignment horizontal="left" vertical="center" wrapText="1"/>
    </xf>
    <xf numFmtId="0" fontId="20" fillId="14" borderId="54" xfId="0" applyFont="1" applyFill="1" applyBorder="1" applyAlignment="1">
      <alignment horizontal="center" vertical="center" wrapText="1"/>
    </xf>
    <xf numFmtId="3" fontId="25" fillId="14" borderId="115" xfId="0" applyNumberFormat="1" applyFont="1" applyFill="1" applyBorder="1" applyAlignment="1">
      <alignment vertical="top"/>
    </xf>
    <xf numFmtId="3" fontId="25" fillId="14" borderId="54" xfId="0" applyNumberFormat="1" applyFont="1" applyFill="1" applyBorder="1" applyAlignment="1">
      <alignment vertical="top"/>
    </xf>
    <xf numFmtId="3" fontId="25" fillId="14" borderId="57" xfId="0" applyNumberFormat="1" applyFont="1" applyFill="1" applyBorder="1" applyAlignment="1">
      <alignment vertical="top"/>
    </xf>
    <xf numFmtId="164" fontId="7" fillId="14" borderId="54" xfId="0" applyNumberFormat="1" applyFont="1" applyFill="1" applyBorder="1" applyAlignment="1">
      <alignment vertical="top"/>
    </xf>
    <xf numFmtId="3" fontId="7" fillId="14" borderId="54" xfId="0" applyNumberFormat="1" applyFont="1" applyFill="1" applyBorder="1" applyAlignment="1">
      <alignment vertical="top"/>
    </xf>
    <xf numFmtId="0" fontId="29" fillId="0" borderId="0" xfId="0" applyFont="1" applyFill="1" applyBorder="1" applyAlignment="1">
      <alignment vertical="top"/>
    </xf>
    <xf numFmtId="0" fontId="20" fillId="4" borderId="5" xfId="2" applyFont="1" applyFill="1" applyBorder="1" applyAlignment="1">
      <alignment horizontal="left" vertical="center"/>
    </xf>
    <xf numFmtId="43" fontId="15" fillId="4" borderId="5" xfId="1" applyFont="1" applyFill="1" applyBorder="1" applyAlignment="1">
      <alignment vertical="top"/>
    </xf>
    <xf numFmtId="43" fontId="15" fillId="4" borderId="138" xfId="1" applyFont="1" applyFill="1" applyBorder="1" applyAlignment="1">
      <alignment vertical="top"/>
    </xf>
    <xf numFmtId="3" fontId="22" fillId="2" borderId="5" xfId="2" applyNumberFormat="1" applyFont="1" applyFill="1" applyBorder="1" applyAlignment="1">
      <alignment vertical="top" wrapText="1"/>
    </xf>
    <xf numFmtId="3" fontId="22" fillId="0" borderId="24" xfId="0" applyNumberFormat="1" applyFont="1" applyFill="1" applyBorder="1" applyAlignment="1">
      <alignment vertical="top"/>
    </xf>
    <xf numFmtId="3" fontId="22" fillId="0" borderId="5" xfId="0" applyNumberFormat="1" applyFont="1" applyFill="1" applyBorder="1" applyAlignment="1">
      <alignment vertical="top"/>
    </xf>
    <xf numFmtId="43" fontId="22" fillId="0" borderId="5" xfId="1" applyFont="1" applyFill="1" applyBorder="1" applyAlignment="1">
      <alignment vertical="top"/>
    </xf>
    <xf numFmtId="43" fontId="22" fillId="0" borderId="138" xfId="1" applyFont="1" applyFill="1" applyBorder="1" applyAlignment="1">
      <alignment vertical="top"/>
    </xf>
    <xf numFmtId="164" fontId="6" fillId="0" borderId="5" xfId="0" applyNumberFormat="1" applyFont="1" applyFill="1" applyBorder="1" applyAlignment="1">
      <alignment vertical="top"/>
    </xf>
    <xf numFmtId="3" fontId="6" fillId="0" borderId="5" xfId="0" applyNumberFormat="1" applyFont="1" applyFill="1" applyBorder="1" applyAlignment="1">
      <alignment vertical="top"/>
    </xf>
    <xf numFmtId="0" fontId="25" fillId="0" borderId="5" xfId="0" applyFont="1" applyFill="1" applyBorder="1" applyAlignment="1">
      <alignment horizontal="left" vertical="center" wrapText="1"/>
    </xf>
    <xf numFmtId="3" fontId="25" fillId="0" borderId="24" xfId="0" applyNumberFormat="1" applyFont="1" applyFill="1" applyBorder="1" applyAlignment="1">
      <alignment vertical="top"/>
    </xf>
    <xf numFmtId="3" fontId="25" fillId="0" borderId="5" xfId="0" applyNumberFormat="1" applyFont="1" applyFill="1" applyBorder="1" applyAlignment="1">
      <alignment vertical="top"/>
    </xf>
    <xf numFmtId="43" fontId="25" fillId="0" borderId="5" xfId="1" applyFont="1" applyFill="1" applyBorder="1" applyAlignment="1">
      <alignment vertical="top"/>
    </xf>
    <xf numFmtId="43" fontId="25" fillId="0" borderId="138" xfId="1" applyFont="1" applyFill="1" applyBorder="1" applyAlignment="1">
      <alignment vertical="top"/>
    </xf>
    <xf numFmtId="164" fontId="7" fillId="0" borderId="5" xfId="0" applyNumberFormat="1" applyFont="1" applyFill="1" applyBorder="1" applyAlignment="1">
      <alignment vertical="top"/>
    </xf>
    <xf numFmtId="3" fontId="7" fillId="2" borderId="5" xfId="0" applyNumberFormat="1" applyFont="1" applyFill="1" applyBorder="1" applyAlignment="1">
      <alignment vertical="top"/>
    </xf>
    <xf numFmtId="0" fontId="22" fillId="2" borderId="5" xfId="2" applyFont="1" applyFill="1" applyBorder="1" applyAlignment="1">
      <alignment vertical="top"/>
    </xf>
    <xf numFmtId="43" fontId="22" fillId="0" borderId="24" xfId="1" applyFont="1" applyFill="1" applyBorder="1" applyAlignment="1">
      <alignment vertical="top"/>
    </xf>
    <xf numFmtId="43" fontId="22" fillId="0" borderId="58" xfId="1" applyFont="1" applyFill="1" applyBorder="1" applyAlignment="1">
      <alignment vertical="top"/>
    </xf>
    <xf numFmtId="43" fontId="6" fillId="0" borderId="5" xfId="1" applyFont="1" applyFill="1" applyBorder="1" applyAlignment="1">
      <alignment vertical="top"/>
    </xf>
    <xf numFmtId="0" fontId="25" fillId="0" borderId="5" xfId="2" applyFont="1" applyFill="1" applyBorder="1" applyAlignment="1">
      <alignment vertical="center"/>
    </xf>
    <xf numFmtId="43" fontId="25" fillId="0" borderId="24" xfId="1" applyFont="1" applyFill="1" applyBorder="1" applyAlignment="1">
      <alignment vertical="top"/>
    </xf>
    <xf numFmtId="43" fontId="25" fillId="0" borderId="58" xfId="1" applyFont="1" applyFill="1" applyBorder="1" applyAlignment="1">
      <alignment vertical="top"/>
    </xf>
    <xf numFmtId="43" fontId="7" fillId="0" borderId="5" xfId="1" applyFont="1" applyFill="1" applyBorder="1" applyAlignment="1">
      <alignment vertical="top"/>
    </xf>
    <xf numFmtId="0" fontId="36" fillId="4" borderId="5" xfId="0" applyFont="1" applyFill="1" applyBorder="1" applyAlignment="1">
      <alignment horizontal="center" vertical="center"/>
    </xf>
    <xf numFmtId="43" fontId="15" fillId="4" borderId="24" xfId="1" applyFont="1" applyFill="1" applyBorder="1" applyAlignment="1">
      <alignment vertical="top"/>
    </xf>
    <xf numFmtId="43" fontId="15" fillId="4" borderId="58" xfId="1" applyFont="1" applyFill="1" applyBorder="1" applyAlignment="1">
      <alignment vertical="top"/>
    </xf>
    <xf numFmtId="43" fontId="5" fillId="4" borderId="5" xfId="1" applyFont="1" applyFill="1" applyBorder="1" applyAlignment="1">
      <alignment vertical="top"/>
    </xf>
    <xf numFmtId="0" fontId="20" fillId="0" borderId="0" xfId="0" applyFont="1" applyFill="1" applyBorder="1" applyAlignment="1">
      <alignment vertical="top"/>
    </xf>
    <xf numFmtId="0" fontId="20" fillId="0" borderId="0" xfId="0" applyFont="1" applyFill="1" applyAlignment="1">
      <alignment vertical="top"/>
    </xf>
    <xf numFmtId="0" fontId="22" fillId="0" borderId="5" xfId="2" applyFont="1" applyFill="1" applyBorder="1" applyAlignment="1">
      <alignment vertical="center"/>
    </xf>
    <xf numFmtId="0" fontId="25" fillId="0" borderId="35" xfId="2" applyFont="1" applyFill="1" applyBorder="1" applyAlignment="1">
      <alignment vertical="center"/>
    </xf>
    <xf numFmtId="43" fontId="25" fillId="0" borderId="46" xfId="1" applyFont="1" applyFill="1" applyBorder="1" applyAlignment="1">
      <alignment vertical="top"/>
    </xf>
    <xf numFmtId="43" fontId="25" fillId="0" borderId="35" xfId="1" applyFont="1" applyFill="1" applyBorder="1" applyAlignment="1">
      <alignment vertical="top"/>
    </xf>
    <xf numFmtId="43" fontId="25" fillId="0" borderId="113" xfId="1" applyFont="1" applyFill="1" applyBorder="1" applyAlignment="1">
      <alignment vertical="top"/>
    </xf>
    <xf numFmtId="43" fontId="7" fillId="0" borderId="35" xfId="1" applyFont="1" applyFill="1" applyBorder="1" applyAlignment="1">
      <alignment vertical="top"/>
    </xf>
    <xf numFmtId="0" fontId="15" fillId="14" borderId="30" xfId="0" applyFont="1" applyFill="1" applyBorder="1" applyAlignment="1">
      <alignment vertical="center" wrapText="1"/>
    </xf>
    <xf numFmtId="0" fontId="20" fillId="14" borderId="30" xfId="0" applyFont="1" applyFill="1" applyBorder="1" applyAlignment="1">
      <alignment horizontal="center" vertical="center" wrapText="1"/>
    </xf>
    <xf numFmtId="3" fontId="25" fillId="14" borderId="27" xfId="0" applyNumberFormat="1" applyFont="1" applyFill="1" applyBorder="1" applyAlignment="1">
      <alignment vertical="top"/>
    </xf>
    <xf numFmtId="3" fontId="25" fillId="14" borderId="59" xfId="0" applyNumberFormat="1" applyFont="1" applyFill="1" applyBorder="1" applyAlignment="1">
      <alignment vertical="top"/>
    </xf>
    <xf numFmtId="164" fontId="7" fillId="14" borderId="30" xfId="0" applyNumberFormat="1" applyFont="1" applyFill="1" applyBorder="1" applyAlignment="1">
      <alignment vertical="top"/>
    </xf>
    <xf numFmtId="3" fontId="7" fillId="14" borderId="30" xfId="0" applyNumberFormat="1" applyFont="1" applyFill="1" applyBorder="1" applyAlignment="1">
      <alignment vertical="top"/>
    </xf>
    <xf numFmtId="0" fontId="29" fillId="4" borderId="5" xfId="0" applyFont="1" applyFill="1" applyBorder="1" applyAlignment="1">
      <alignment vertical="top"/>
    </xf>
    <xf numFmtId="3" fontId="22" fillId="0" borderId="58" xfId="0" applyNumberFormat="1" applyFont="1" applyFill="1" applyBorder="1" applyAlignment="1">
      <alignment vertical="top"/>
    </xf>
    <xf numFmtId="0" fontId="25" fillId="0" borderId="5" xfId="0" applyFont="1" applyFill="1" applyBorder="1" applyAlignment="1">
      <alignment vertical="top" wrapText="1"/>
    </xf>
    <xf numFmtId="3" fontId="25" fillId="0" borderId="58" xfId="0" applyNumberFormat="1" applyFont="1" applyFill="1" applyBorder="1" applyAlignment="1">
      <alignment vertical="top"/>
    </xf>
    <xf numFmtId="3" fontId="25" fillId="2" borderId="24" xfId="0" applyNumberFormat="1" applyFont="1" applyFill="1" applyBorder="1" applyAlignment="1">
      <alignment vertical="top"/>
    </xf>
    <xf numFmtId="164" fontId="7" fillId="2" borderId="5" xfId="0" applyNumberFormat="1" applyFont="1" applyFill="1" applyBorder="1" applyAlignment="1">
      <alignment vertical="top"/>
    </xf>
    <xf numFmtId="43" fontId="7" fillId="2" borderId="5" xfId="1" applyFont="1" applyFill="1" applyBorder="1" applyAlignment="1">
      <alignment vertical="top"/>
    </xf>
    <xf numFmtId="3" fontId="7" fillId="0" borderId="5" xfId="0" applyNumberFormat="1" applyFont="1" applyFill="1" applyBorder="1" applyAlignment="1">
      <alignment vertical="top"/>
    </xf>
    <xf numFmtId="3" fontId="25" fillId="0" borderId="138" xfId="0" applyNumberFormat="1" applyFont="1" applyFill="1" applyBorder="1" applyAlignment="1">
      <alignment vertical="top"/>
    </xf>
    <xf numFmtId="3" fontId="15" fillId="4" borderId="138" xfId="0" applyNumberFormat="1" applyFont="1" applyFill="1" applyBorder="1" applyAlignment="1">
      <alignment vertical="top"/>
    </xf>
    <xf numFmtId="0" fontId="36" fillId="2" borderId="5" xfId="0" applyFont="1" applyFill="1" applyBorder="1" applyAlignment="1">
      <alignment horizontal="center" vertical="center"/>
    </xf>
    <xf numFmtId="3" fontId="15" fillId="2" borderId="24" xfId="0" applyNumberFormat="1" applyFont="1" applyFill="1" applyBorder="1" applyAlignment="1">
      <alignment vertical="top"/>
    </xf>
    <xf numFmtId="3" fontId="15" fillId="2" borderId="5" xfId="0" applyNumberFormat="1" applyFont="1" applyFill="1" applyBorder="1" applyAlignment="1">
      <alignment vertical="top"/>
    </xf>
    <xf numFmtId="3" fontId="15" fillId="2" borderId="58" xfId="0" applyNumberFormat="1" applyFont="1" applyFill="1" applyBorder="1" applyAlignment="1">
      <alignment vertical="top"/>
    </xf>
    <xf numFmtId="164" fontId="5" fillId="2" borderId="5" xfId="0" applyNumberFormat="1" applyFont="1" applyFill="1" applyBorder="1" applyAlignment="1">
      <alignment vertical="top"/>
    </xf>
    <xf numFmtId="3" fontId="5" fillId="2" borderId="5" xfId="0" applyNumberFormat="1" applyFont="1" applyFill="1" applyBorder="1" applyAlignment="1">
      <alignment vertical="top"/>
    </xf>
    <xf numFmtId="3" fontId="25" fillId="2" borderId="5" xfId="0" applyNumberFormat="1" applyFont="1" applyFill="1" applyBorder="1" applyAlignment="1">
      <alignment vertical="top"/>
    </xf>
    <xf numFmtId="3" fontId="25" fillId="2" borderId="58" xfId="0" applyNumberFormat="1" applyFont="1" applyFill="1" applyBorder="1" applyAlignment="1">
      <alignment vertical="top"/>
    </xf>
    <xf numFmtId="3" fontId="25" fillId="0" borderId="46" xfId="0" applyNumberFormat="1" applyFont="1" applyFill="1" applyBorder="1" applyAlignment="1">
      <alignment vertical="top"/>
    </xf>
    <xf numFmtId="3" fontId="25" fillId="0" borderId="35" xfId="0" applyNumberFormat="1" applyFont="1" applyFill="1" applyBorder="1" applyAlignment="1">
      <alignment vertical="top"/>
    </xf>
    <xf numFmtId="3" fontId="25" fillId="0" borderId="113" xfId="0" applyNumberFormat="1" applyFont="1" applyFill="1" applyBorder="1" applyAlignment="1">
      <alignment vertical="top"/>
    </xf>
    <xf numFmtId="164" fontId="7" fillId="0" borderId="35" xfId="0" applyNumberFormat="1" applyFont="1" applyFill="1" applyBorder="1" applyAlignment="1">
      <alignment vertical="top"/>
    </xf>
    <xf numFmtId="3" fontId="7" fillId="0" borderId="35" xfId="0" applyNumberFormat="1" applyFont="1" applyFill="1" applyBorder="1" applyAlignment="1">
      <alignment vertical="top"/>
    </xf>
    <xf numFmtId="0" fontId="25" fillId="14" borderId="27" xfId="0" applyFont="1" applyFill="1" applyBorder="1" applyAlignment="1">
      <alignment vertical="top"/>
    </xf>
    <xf numFmtId="0" fontId="25" fillId="14" borderId="59" xfId="0" applyFont="1" applyFill="1" applyBorder="1" applyAlignment="1">
      <alignment vertical="top"/>
    </xf>
    <xf numFmtId="3" fontId="5" fillId="4" borderId="24" xfId="0" applyNumberFormat="1" applyFont="1" applyFill="1" applyBorder="1" applyAlignment="1">
      <alignment vertical="top"/>
    </xf>
    <xf numFmtId="3" fontId="25" fillId="0" borderId="7" xfId="0" applyNumberFormat="1" applyFont="1" applyFill="1" applyBorder="1" applyAlignment="1">
      <alignment vertical="top"/>
    </xf>
    <xf numFmtId="3" fontId="25" fillId="0" borderId="6" xfId="0" applyNumberFormat="1" applyFont="1" applyFill="1" applyBorder="1" applyAlignment="1">
      <alignment vertical="top"/>
    </xf>
    <xf numFmtId="3" fontId="25" fillId="0" borderId="2" xfId="0" applyNumberFormat="1" applyFont="1" applyFill="1" applyBorder="1" applyAlignment="1">
      <alignment vertical="top"/>
    </xf>
    <xf numFmtId="164" fontId="7" fillId="0" borderId="6" xfId="0" applyNumberFormat="1" applyFont="1" applyFill="1" applyBorder="1" applyAlignment="1">
      <alignment vertical="top"/>
    </xf>
    <xf numFmtId="3" fontId="22" fillId="0" borderId="26" xfId="0" quotePrefix="1" applyNumberFormat="1" applyFont="1" applyFill="1" applyBorder="1" applyAlignment="1">
      <alignment horizontal="right" vertical="top"/>
    </xf>
    <xf numFmtId="3" fontId="6" fillId="0" borderId="24" xfId="0" quotePrefix="1" applyNumberFormat="1" applyFont="1" applyFill="1" applyBorder="1" applyAlignment="1">
      <alignment horizontal="right" vertical="top"/>
    </xf>
    <xf numFmtId="3" fontId="25" fillId="0" borderId="26" xfId="0" quotePrefix="1" applyNumberFormat="1" applyFont="1" applyFill="1" applyBorder="1" applyAlignment="1">
      <alignment horizontal="right" vertical="top"/>
    </xf>
    <xf numFmtId="3" fontId="7" fillId="0" borderId="24" xfId="0" quotePrefix="1" applyNumberFormat="1" applyFont="1" applyFill="1" applyBorder="1" applyAlignment="1">
      <alignment horizontal="right" vertical="top"/>
    </xf>
    <xf numFmtId="3" fontId="15" fillId="4" borderId="26" xfId="0" quotePrefix="1" applyNumberFormat="1" applyFont="1" applyFill="1" applyBorder="1" applyAlignment="1">
      <alignment horizontal="right" vertical="top"/>
    </xf>
    <xf numFmtId="3" fontId="15" fillId="2" borderId="26" xfId="0" quotePrefix="1" applyNumberFormat="1" applyFont="1" applyFill="1" applyBorder="1" applyAlignment="1">
      <alignment horizontal="right" vertical="top"/>
    </xf>
    <xf numFmtId="3" fontId="25" fillId="0" borderId="46" xfId="0" quotePrefix="1" applyNumberFormat="1" applyFont="1" applyFill="1" applyBorder="1" applyAlignment="1">
      <alignment horizontal="right" vertical="top"/>
    </xf>
    <xf numFmtId="3" fontId="7" fillId="0" borderId="46" xfId="0" quotePrefix="1" applyNumberFormat="1" applyFont="1" applyFill="1" applyBorder="1" applyAlignment="1">
      <alignment horizontal="right" vertical="top"/>
    </xf>
    <xf numFmtId="0" fontId="15" fillId="14" borderId="30" xfId="0" applyFont="1" applyFill="1" applyBorder="1" applyAlignment="1">
      <alignment vertical="top" wrapText="1"/>
    </xf>
    <xf numFmtId="0" fontId="25" fillId="0" borderId="35" xfId="0" applyFont="1" applyFill="1" applyBorder="1" applyAlignment="1">
      <alignment vertical="top" wrapText="1"/>
    </xf>
    <xf numFmtId="0" fontId="15" fillId="14" borderId="54" xfId="0" applyFont="1" applyFill="1" applyBorder="1" applyAlignment="1">
      <alignment vertical="center" wrapText="1"/>
    </xf>
    <xf numFmtId="0" fontId="25" fillId="14" borderId="115" xfId="0" applyFont="1" applyFill="1" applyBorder="1" applyAlignment="1">
      <alignment vertical="top"/>
    </xf>
    <xf numFmtId="0" fontId="25" fillId="14" borderId="18" xfId="0" applyFont="1" applyFill="1" applyBorder="1" applyAlignment="1">
      <alignment vertical="top"/>
    </xf>
    <xf numFmtId="43" fontId="5" fillId="2" borderId="5" xfId="1" applyFont="1" applyFill="1" applyBorder="1" applyAlignment="1">
      <alignment vertical="top"/>
    </xf>
    <xf numFmtId="0" fontId="25" fillId="2" borderId="5" xfId="0" applyFont="1" applyFill="1" applyBorder="1" applyAlignment="1">
      <alignment vertical="top" wrapText="1"/>
    </xf>
    <xf numFmtId="0" fontId="15" fillId="14" borderId="54" xfId="0" applyFont="1" applyFill="1" applyBorder="1" applyAlignment="1">
      <alignment vertical="top" wrapText="1"/>
    </xf>
    <xf numFmtId="3" fontId="25" fillId="14" borderId="18" xfId="0" applyNumberFormat="1" applyFont="1" applyFill="1" applyBorder="1" applyAlignment="1">
      <alignment vertical="top"/>
    </xf>
    <xf numFmtId="3" fontId="6" fillId="0" borderId="24" xfId="0" applyNumberFormat="1" applyFont="1" applyFill="1" applyBorder="1" applyAlignment="1">
      <alignment vertical="top"/>
    </xf>
    <xf numFmtId="3" fontId="7" fillId="0" borderId="24" xfId="0" applyNumberFormat="1" applyFont="1" applyFill="1" applyBorder="1" applyAlignment="1">
      <alignment vertical="top"/>
    </xf>
    <xf numFmtId="43" fontId="15" fillId="2" borderId="24" xfId="1" applyFont="1" applyFill="1" applyBorder="1" applyAlignment="1">
      <alignment vertical="top"/>
    </xf>
    <xf numFmtId="43" fontId="15" fillId="2" borderId="5" xfId="1" applyFont="1" applyFill="1" applyBorder="1" applyAlignment="1">
      <alignment vertical="top"/>
    </xf>
    <xf numFmtId="43" fontId="15" fillId="2" borderId="58" xfId="1" applyFont="1" applyFill="1" applyBorder="1" applyAlignment="1">
      <alignment vertical="top"/>
    </xf>
    <xf numFmtId="43" fontId="5" fillId="2" borderId="24" xfId="1" applyFont="1" applyFill="1" applyBorder="1" applyAlignment="1">
      <alignment vertical="top"/>
    </xf>
    <xf numFmtId="43" fontId="25" fillId="2" borderId="24" xfId="1" applyFont="1" applyFill="1" applyBorder="1" applyAlignment="1">
      <alignment vertical="top"/>
    </xf>
    <xf numFmtId="43" fontId="25" fillId="2" borderId="5" xfId="1" applyFont="1" applyFill="1" applyBorder="1" applyAlignment="1">
      <alignment vertical="top"/>
    </xf>
    <xf numFmtId="43" fontId="25" fillId="2" borderId="58" xfId="1" applyFont="1" applyFill="1" applyBorder="1" applyAlignment="1">
      <alignment vertical="top"/>
    </xf>
    <xf numFmtId="3" fontId="7" fillId="0" borderId="46" xfId="0" applyNumberFormat="1" applyFont="1" applyFill="1" applyBorder="1" applyAlignment="1">
      <alignment vertical="top"/>
    </xf>
    <xf numFmtId="3" fontId="22" fillId="2" borderId="24" xfId="0" applyNumberFormat="1" applyFont="1" applyFill="1" applyBorder="1" applyAlignment="1">
      <alignment vertical="top"/>
    </xf>
    <xf numFmtId="3" fontId="22" fillId="2" borderId="5" xfId="0" applyNumberFormat="1" applyFont="1" applyFill="1" applyBorder="1" applyAlignment="1">
      <alignment vertical="top"/>
    </xf>
    <xf numFmtId="3" fontId="22" fillId="2" borderId="58" xfId="0" applyNumberFormat="1" applyFont="1" applyFill="1" applyBorder="1" applyAlignment="1">
      <alignment vertical="top"/>
    </xf>
    <xf numFmtId="164" fontId="6" fillId="2" borderId="5" xfId="0" applyNumberFormat="1" applyFont="1" applyFill="1" applyBorder="1" applyAlignment="1">
      <alignment vertical="top"/>
    </xf>
    <xf numFmtId="3" fontId="6" fillId="2" borderId="5" xfId="0" applyNumberFormat="1" applyFont="1" applyFill="1" applyBorder="1" applyAlignment="1">
      <alignment vertical="top"/>
    </xf>
    <xf numFmtId="43" fontId="6" fillId="2" borderId="5" xfId="1" applyFont="1" applyFill="1" applyBorder="1" applyAlignment="1">
      <alignment vertical="top"/>
    </xf>
    <xf numFmtId="0" fontId="25" fillId="2" borderId="5" xfId="2" applyFont="1" applyFill="1" applyBorder="1" applyAlignment="1">
      <alignment vertical="center"/>
    </xf>
    <xf numFmtId="0" fontId="22" fillId="2" borderId="5" xfId="2" applyFont="1" applyFill="1" applyBorder="1" applyAlignment="1">
      <alignment vertical="center"/>
    </xf>
    <xf numFmtId="0" fontId="25" fillId="2" borderId="35" xfId="2" applyFont="1" applyFill="1" applyBorder="1" applyAlignment="1">
      <alignment vertical="center"/>
    </xf>
    <xf numFmtId="3" fontId="25" fillId="2" borderId="46" xfId="0" applyNumberFormat="1" applyFont="1" applyFill="1" applyBorder="1" applyAlignment="1">
      <alignment vertical="top"/>
    </xf>
    <xf numFmtId="3" fontId="25" fillId="2" borderId="35" xfId="0" applyNumberFormat="1" applyFont="1" applyFill="1" applyBorder="1" applyAlignment="1">
      <alignment vertical="top"/>
    </xf>
    <xf numFmtId="3" fontId="25" fillId="2" borderId="113" xfId="0" applyNumberFormat="1" applyFont="1" applyFill="1" applyBorder="1" applyAlignment="1">
      <alignment vertical="top"/>
    </xf>
    <xf numFmtId="164" fontId="7" fillId="2" borderId="35" xfId="0" applyNumberFormat="1" applyFont="1" applyFill="1" applyBorder="1" applyAlignment="1">
      <alignment vertical="top"/>
    </xf>
    <xf numFmtId="3" fontId="7" fillId="2" borderId="35" xfId="0" applyNumberFormat="1" applyFont="1" applyFill="1" applyBorder="1" applyAlignment="1">
      <alignment vertical="top"/>
    </xf>
    <xf numFmtId="0" fontId="16" fillId="0" borderId="0" xfId="0" applyFont="1" applyBorder="1" applyAlignment="1">
      <alignment vertical="center" wrapText="1"/>
    </xf>
    <xf numFmtId="0" fontId="29" fillId="0" borderId="0" xfId="0" applyFont="1" applyFill="1" applyBorder="1" applyAlignment="1">
      <alignment vertical="top" wrapText="1"/>
    </xf>
    <xf numFmtId="0" fontId="35" fillId="0" borderId="0" xfId="0" applyFont="1" applyBorder="1" applyAlignment="1">
      <alignment horizontal="center" vertical="center"/>
    </xf>
    <xf numFmtId="3" fontId="29" fillId="0" borderId="0" xfId="0" applyNumberFormat="1" applyFont="1" applyFill="1" applyBorder="1" applyAlignment="1">
      <alignment vertical="top"/>
    </xf>
    <xf numFmtId="164" fontId="29" fillId="0" borderId="0" xfId="0" applyNumberFormat="1" applyFont="1" applyFill="1" applyBorder="1" applyAlignment="1">
      <alignment vertical="top"/>
    </xf>
    <xf numFmtId="0" fontId="35" fillId="0" borderId="0" xfId="0" applyFont="1" applyBorder="1" applyAlignment="1">
      <alignment horizontal="center" vertical="center" wrapText="1"/>
    </xf>
    <xf numFmtId="0" fontId="20" fillId="0" borderId="0" xfId="0" applyFont="1" applyAlignment="1">
      <alignment vertical="top"/>
    </xf>
    <xf numFmtId="0" fontId="29" fillId="0" borderId="0" xfId="0" applyFont="1" applyAlignment="1">
      <alignment horizontal="center" vertical="top"/>
    </xf>
    <xf numFmtId="3" fontId="20" fillId="0" borderId="0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horizontal="right" vertical="top"/>
    </xf>
    <xf numFmtId="3" fontId="29" fillId="0" borderId="0" xfId="0" applyNumberFormat="1" applyFont="1" applyFill="1" applyBorder="1" applyAlignment="1"/>
    <xf numFmtId="0" fontId="29" fillId="0" borderId="0" xfId="0" applyFont="1" applyBorder="1" applyAlignment="1">
      <alignment vertical="top"/>
    </xf>
    <xf numFmtId="0" fontId="29" fillId="0" borderId="0" xfId="0" applyFont="1" applyAlignment="1">
      <alignment horizontal="center" vertical="top" wrapText="1"/>
    </xf>
    <xf numFmtId="0" fontId="20" fillId="0" borderId="42" xfId="0" applyFont="1" applyBorder="1" applyAlignment="1">
      <alignment vertical="top"/>
    </xf>
    <xf numFmtId="0" fontId="20" fillId="0" borderId="21" xfId="0" applyFont="1" applyBorder="1" applyAlignment="1">
      <alignment vertical="top" wrapText="1"/>
    </xf>
    <xf numFmtId="0" fontId="29" fillId="0" borderId="21" xfId="0" applyFont="1" applyBorder="1" applyAlignment="1">
      <alignment vertical="top"/>
    </xf>
    <xf numFmtId="0" fontId="29" fillId="0" borderId="95" xfId="0" applyFont="1" applyBorder="1" applyAlignment="1">
      <alignment vertical="top"/>
    </xf>
    <xf numFmtId="0" fontId="29" fillId="0" borderId="95" xfId="0" applyFont="1" applyBorder="1" applyAlignment="1">
      <alignment horizontal="center" vertical="top" wrapText="1"/>
    </xf>
    <xf numFmtId="0" fontId="20" fillId="0" borderId="50" xfId="0" applyFont="1" applyBorder="1" applyAlignment="1">
      <alignment vertical="top"/>
    </xf>
    <xf numFmtId="0" fontId="29" fillId="0" borderId="96" xfId="0" applyFont="1" applyBorder="1" applyAlignment="1">
      <alignment vertical="top"/>
    </xf>
    <xf numFmtId="0" fontId="29" fillId="0" borderId="96" xfId="0" applyFont="1" applyBorder="1" applyAlignment="1">
      <alignment horizontal="center" vertical="top" wrapText="1"/>
    </xf>
    <xf numFmtId="0" fontId="20" fillId="0" borderId="49" xfId="0" applyFont="1" applyBorder="1" applyAlignment="1">
      <alignment vertical="top"/>
    </xf>
    <xf numFmtId="0" fontId="29" fillId="0" borderId="14" xfId="0" applyFont="1" applyBorder="1" applyAlignment="1">
      <alignment vertical="top"/>
    </xf>
    <xf numFmtId="0" fontId="29" fillId="0" borderId="100" xfId="0" applyFont="1" applyBorder="1" applyAlignment="1">
      <alignment vertical="top"/>
    </xf>
    <xf numFmtId="0" fontId="29" fillId="0" borderId="100" xfId="0" applyFont="1" applyBorder="1" applyAlignment="1">
      <alignment horizontal="center" vertical="top" wrapText="1"/>
    </xf>
    <xf numFmtId="0" fontId="16" fillId="0" borderId="0" xfId="0" applyFont="1" applyBorder="1"/>
    <xf numFmtId="0" fontId="16" fillId="0" borderId="0" xfId="0" applyFont="1"/>
    <xf numFmtId="0" fontId="35" fillId="0" borderId="0" xfId="0" applyFont="1"/>
    <xf numFmtId="0" fontId="22" fillId="0" borderId="0" xfId="0" applyFont="1" applyFill="1" applyAlignment="1"/>
    <xf numFmtId="0" fontId="30" fillId="2" borderId="0" xfId="0" applyFont="1" applyFill="1" applyBorder="1" applyAlignment="1">
      <alignment horizontal="right" vertical="center" wrapText="1"/>
    </xf>
    <xf numFmtId="0" fontId="37" fillId="0" borderId="0" xfId="0" applyFont="1" applyFill="1" applyAlignment="1">
      <alignment horizontal="left"/>
    </xf>
    <xf numFmtId="0" fontId="35" fillId="0" borderId="0" xfId="0" applyFont="1" applyBorder="1"/>
    <xf numFmtId="3" fontId="16" fillId="0" borderId="0" xfId="0" applyNumberFormat="1" applyFont="1" applyBorder="1"/>
    <xf numFmtId="0" fontId="37" fillId="0" borderId="0" xfId="0" applyFont="1" applyFill="1" applyBorder="1" applyAlignment="1">
      <alignment horizontal="left"/>
    </xf>
    <xf numFmtId="0" fontId="32" fillId="2" borderId="0" xfId="2" applyFont="1" applyFill="1" applyBorder="1" applyAlignment="1">
      <alignment wrapText="1"/>
    </xf>
    <xf numFmtId="0" fontId="38" fillId="0" borderId="0" xfId="0" applyFont="1" applyBorder="1" applyAlignment="1">
      <alignment wrapText="1"/>
    </xf>
    <xf numFmtId="0" fontId="39" fillId="0" borderId="0" xfId="0" applyFont="1" applyBorder="1" applyAlignment="1">
      <alignment wrapText="1"/>
    </xf>
    <xf numFmtId="0" fontId="17" fillId="2" borderId="51" xfId="0" applyFont="1" applyFill="1" applyBorder="1" applyAlignment="1">
      <alignment horizontal="center" vertical="top"/>
    </xf>
    <xf numFmtId="0" fontId="17" fillId="2" borderId="40" xfId="0" applyFont="1" applyFill="1" applyBorder="1" applyAlignment="1">
      <alignment horizontal="center" vertical="top"/>
    </xf>
    <xf numFmtId="0" fontId="17" fillId="2" borderId="51" xfId="0" quotePrefix="1" applyFont="1" applyFill="1" applyBorder="1" applyAlignment="1">
      <alignment horizontal="center" vertical="top"/>
    </xf>
    <xf numFmtId="0" fontId="17" fillId="2" borderId="52" xfId="0" quotePrefix="1" applyFont="1" applyFill="1" applyBorder="1" applyAlignment="1">
      <alignment horizontal="center" vertical="top" wrapText="1"/>
    </xf>
    <xf numFmtId="0" fontId="40" fillId="2" borderId="0" xfId="0" applyFont="1" applyFill="1"/>
    <xf numFmtId="0" fontId="10" fillId="0" borderId="117" xfId="0" quotePrefix="1" applyFont="1" applyBorder="1" applyAlignment="1">
      <alignment horizontal="center" vertical="center"/>
    </xf>
    <xf numFmtId="3" fontId="22" fillId="22" borderId="122" xfId="0" quotePrefix="1" applyNumberFormat="1" applyFont="1" applyFill="1" applyBorder="1" applyAlignment="1">
      <alignment vertical="center"/>
    </xf>
    <xf numFmtId="0" fontId="35" fillId="0" borderId="96" xfId="0" applyFont="1" applyBorder="1" applyAlignment="1">
      <alignment wrapText="1"/>
    </xf>
    <xf numFmtId="0" fontId="25" fillId="0" borderId="9" xfId="0" applyFont="1" applyBorder="1" applyAlignment="1">
      <alignment vertical="center"/>
    </xf>
    <xf numFmtId="0" fontId="22" fillId="0" borderId="119" xfId="0" applyFont="1" applyBorder="1" applyAlignment="1">
      <alignment horizontal="left" vertical="center"/>
    </xf>
    <xf numFmtId="0" fontId="30" fillId="0" borderId="120" xfId="0" quotePrefix="1" applyFont="1" applyBorder="1" applyAlignment="1">
      <alignment horizontal="center" vertical="center"/>
    </xf>
    <xf numFmtId="43" fontId="22" fillId="2" borderId="123" xfId="1" quotePrefix="1" applyFont="1" applyFill="1" applyBorder="1" applyAlignment="1">
      <alignment vertical="center"/>
    </xf>
    <xf numFmtId="43" fontId="22" fillId="2" borderId="120" xfId="1" quotePrefix="1" applyFont="1" applyFill="1" applyBorder="1" applyAlignment="1">
      <alignment vertical="center"/>
    </xf>
    <xf numFmtId="3" fontId="22" fillId="22" borderId="123" xfId="0" quotePrefix="1" applyNumberFormat="1" applyFont="1" applyFill="1" applyBorder="1" applyAlignment="1">
      <alignment vertical="center"/>
    </xf>
    <xf numFmtId="43" fontId="22" fillId="2" borderId="119" xfId="1" quotePrefix="1" applyFont="1" applyFill="1" applyBorder="1" applyAlignment="1">
      <alignment vertical="center"/>
    </xf>
    <xf numFmtId="43" fontId="22" fillId="0" borderId="119" xfId="1" applyFont="1" applyFill="1" applyBorder="1" applyAlignment="1">
      <alignment horizontal="right" vertical="center"/>
    </xf>
    <xf numFmtId="0" fontId="35" fillId="0" borderId="96" xfId="0" applyFont="1" applyBorder="1" applyAlignment="1">
      <alignment vertical="center" wrapText="1"/>
    </xf>
    <xf numFmtId="0" fontId="29" fillId="2" borderId="0" xfId="0" quotePrefix="1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2" fillId="0" borderId="30" xfId="0" applyFont="1" applyBorder="1" applyAlignment="1">
      <alignment horizontal="left" vertical="top"/>
    </xf>
    <xf numFmtId="0" fontId="30" fillId="0" borderId="59" xfId="0" quotePrefix="1" applyFont="1" applyBorder="1" applyAlignment="1">
      <alignment horizontal="center" vertical="top"/>
    </xf>
    <xf numFmtId="3" fontId="22" fillId="2" borderId="113" xfId="0" quotePrefix="1" applyNumberFormat="1" applyFont="1" applyFill="1" applyBorder="1" applyAlignment="1">
      <alignment vertical="top"/>
    </xf>
    <xf numFmtId="3" fontId="22" fillId="22" borderId="114" xfId="0" quotePrefix="1" applyNumberFormat="1" applyFont="1" applyFill="1" applyBorder="1" applyAlignment="1">
      <alignment vertical="top"/>
    </xf>
    <xf numFmtId="3" fontId="22" fillId="2" borderId="34" xfId="0" quotePrefix="1" applyNumberFormat="1" applyFont="1" applyFill="1" applyBorder="1" applyAlignment="1">
      <alignment vertical="top"/>
    </xf>
    <xf numFmtId="3" fontId="22" fillId="2" borderId="119" xfId="0" quotePrefix="1" applyNumberFormat="1" applyFont="1" applyFill="1" applyBorder="1" applyAlignment="1">
      <alignment vertical="top"/>
    </xf>
    <xf numFmtId="0" fontId="15" fillId="4" borderId="61" xfId="2" applyFont="1" applyFill="1" applyBorder="1" applyAlignment="1">
      <alignment horizontal="left" vertical="center"/>
    </xf>
    <xf numFmtId="0" fontId="20" fillId="4" borderId="62" xfId="2" applyFont="1" applyFill="1" applyBorder="1" applyAlignment="1">
      <alignment horizontal="left" vertical="center"/>
    </xf>
    <xf numFmtId="3" fontId="5" fillId="4" borderId="60" xfId="2" applyNumberFormat="1" applyFont="1" applyFill="1" applyBorder="1" applyAlignment="1">
      <alignment vertical="top"/>
    </xf>
    <xf numFmtId="3" fontId="5" fillId="4" borderId="61" xfId="2" applyNumberFormat="1" applyFont="1" applyFill="1" applyBorder="1" applyAlignment="1">
      <alignment vertical="top"/>
    </xf>
    <xf numFmtId="3" fontId="5" fillId="4" borderId="63" xfId="2" applyNumberFormat="1" applyFont="1" applyFill="1" applyBorder="1" applyAlignment="1">
      <alignment vertical="top"/>
    </xf>
    <xf numFmtId="3" fontId="5" fillId="4" borderId="62" xfId="2" applyNumberFormat="1" applyFont="1" applyFill="1" applyBorder="1" applyAlignment="1">
      <alignment vertical="top"/>
    </xf>
    <xf numFmtId="3" fontId="5" fillId="4" borderId="109" xfId="2" applyNumberFormat="1" applyFont="1" applyFill="1" applyBorder="1" applyAlignment="1">
      <alignment vertical="top"/>
    </xf>
    <xf numFmtId="165" fontId="5" fillId="4" borderId="61" xfId="2" applyNumberFormat="1" applyFont="1" applyFill="1" applyBorder="1" applyAlignment="1">
      <alignment vertical="top"/>
    </xf>
    <xf numFmtId="3" fontId="16" fillId="0" borderId="0" xfId="0" applyNumberFormat="1" applyFont="1"/>
    <xf numFmtId="166" fontId="16" fillId="0" borderId="0" xfId="0" applyNumberFormat="1" applyFont="1" applyAlignment="1">
      <alignment horizontal="center"/>
    </xf>
    <xf numFmtId="0" fontId="6" fillId="5" borderId="65" xfId="2" applyFont="1" applyFill="1" applyBorder="1" applyAlignment="1">
      <alignment vertical="top"/>
    </xf>
    <xf numFmtId="3" fontId="6" fillId="5" borderId="64" xfId="2" applyNumberFormat="1" applyFont="1" applyFill="1" applyBorder="1" applyAlignment="1">
      <alignment vertical="top"/>
    </xf>
    <xf numFmtId="3" fontId="6" fillId="5" borderId="65" xfId="2" applyNumberFormat="1" applyFont="1" applyFill="1" applyBorder="1" applyAlignment="1">
      <alignment vertical="top"/>
    </xf>
    <xf numFmtId="3" fontId="6" fillId="5" borderId="67" xfId="2" applyNumberFormat="1" applyFont="1" applyFill="1" applyBorder="1" applyAlignment="1">
      <alignment vertical="top"/>
    </xf>
    <xf numFmtId="3" fontId="6" fillId="5" borderId="66" xfId="2" applyNumberFormat="1" applyFont="1" applyFill="1" applyBorder="1" applyAlignment="1">
      <alignment vertical="top"/>
    </xf>
    <xf numFmtId="3" fontId="6" fillId="5" borderId="74" xfId="2" applyNumberFormat="1" applyFont="1" applyFill="1" applyBorder="1" applyAlignment="1">
      <alignment vertical="top"/>
    </xf>
    <xf numFmtId="165" fontId="6" fillId="5" borderId="65" xfId="2" applyNumberFormat="1" applyFont="1" applyFill="1" applyBorder="1" applyAlignment="1">
      <alignment vertical="top"/>
    </xf>
    <xf numFmtId="166" fontId="42" fillId="0" borderId="0" xfId="0" applyNumberFormat="1" applyFont="1"/>
    <xf numFmtId="0" fontId="42" fillId="0" borderId="0" xfId="0" applyFont="1"/>
    <xf numFmtId="3" fontId="42" fillId="0" borderId="0" xfId="0" applyNumberFormat="1" applyFont="1" applyAlignment="1">
      <alignment horizontal="center"/>
    </xf>
    <xf numFmtId="0" fontId="42" fillId="0" borderId="0" xfId="0" applyFont="1" applyAlignment="1">
      <alignment horizontal="center"/>
    </xf>
    <xf numFmtId="0" fontId="7" fillId="5" borderId="65" xfId="2" applyFont="1" applyFill="1" applyBorder="1" applyAlignment="1">
      <alignment vertical="top"/>
    </xf>
    <xf numFmtId="3" fontId="7" fillId="5" borderId="64" xfId="2" applyNumberFormat="1" applyFont="1" applyFill="1" applyBorder="1" applyAlignment="1">
      <alignment vertical="top"/>
    </xf>
    <xf numFmtId="3" fontId="7" fillId="5" borderId="74" xfId="2" applyNumberFormat="1" applyFont="1" applyFill="1" applyBorder="1" applyAlignment="1">
      <alignment vertical="top"/>
    </xf>
    <xf numFmtId="3" fontId="7" fillId="5" borderId="67" xfId="2" applyNumberFormat="1" applyFont="1" applyFill="1" applyBorder="1" applyAlignment="1">
      <alignment vertical="top"/>
    </xf>
    <xf numFmtId="3" fontId="7" fillId="5" borderId="66" xfId="2" applyNumberFormat="1" applyFont="1" applyFill="1" applyBorder="1" applyAlignment="1">
      <alignment vertical="top"/>
    </xf>
    <xf numFmtId="165" fontId="7" fillId="5" borderId="65" xfId="2" applyNumberFormat="1" applyFont="1" applyFill="1" applyBorder="1" applyAlignment="1">
      <alignment vertical="top"/>
    </xf>
    <xf numFmtId="3" fontId="7" fillId="5" borderId="65" xfId="2" applyNumberFormat="1" applyFont="1" applyFill="1" applyBorder="1" applyAlignment="1">
      <alignment vertical="top"/>
    </xf>
    <xf numFmtId="3" fontId="7" fillId="5" borderId="65" xfId="2" applyNumberFormat="1" applyFont="1" applyFill="1" applyBorder="1" applyAlignment="1">
      <alignment vertical="top" wrapText="1"/>
    </xf>
    <xf numFmtId="43" fontId="7" fillId="5" borderId="65" xfId="1" applyFont="1" applyFill="1" applyBorder="1" applyAlignment="1">
      <alignment vertical="top"/>
    </xf>
    <xf numFmtId="43" fontId="25" fillId="5" borderId="64" xfId="1" applyFont="1" applyFill="1" applyBorder="1" applyAlignment="1">
      <alignment vertical="top"/>
    </xf>
    <xf numFmtId="43" fontId="25" fillId="5" borderId="65" xfId="1" applyFont="1" applyFill="1" applyBorder="1" applyAlignment="1">
      <alignment vertical="top"/>
    </xf>
    <xf numFmtId="43" fontId="25" fillId="5" borderId="67" xfId="1" applyFont="1" applyFill="1" applyBorder="1" applyAlignment="1">
      <alignment vertical="top"/>
    </xf>
    <xf numFmtId="43" fontId="25" fillId="5" borderId="66" xfId="1" applyFont="1" applyFill="1" applyBorder="1" applyAlignment="1">
      <alignment vertical="top"/>
    </xf>
    <xf numFmtId="43" fontId="25" fillId="5" borderId="74" xfId="1" applyFont="1" applyFill="1" applyBorder="1" applyAlignment="1">
      <alignment vertical="top"/>
    </xf>
    <xf numFmtId="0" fontId="7" fillId="5" borderId="65" xfId="2" applyFont="1" applyFill="1" applyBorder="1" applyAlignment="1">
      <alignment vertical="top" wrapText="1"/>
    </xf>
    <xf numFmtId="0" fontId="15" fillId="4" borderId="65" xfId="2" applyFont="1" applyFill="1" applyBorder="1" applyAlignment="1">
      <alignment horizontal="left" vertical="center"/>
    </xf>
    <xf numFmtId="0" fontId="20" fillId="4" borderId="66" xfId="2" applyFont="1" applyFill="1" applyBorder="1" applyAlignment="1">
      <alignment horizontal="left" vertical="center"/>
    </xf>
    <xf numFmtId="3" fontId="15" fillId="4" borderId="64" xfId="2" applyNumberFormat="1" applyFont="1" applyFill="1" applyBorder="1" applyAlignment="1">
      <alignment vertical="top"/>
    </xf>
    <xf numFmtId="3" fontId="15" fillId="4" borderId="65" xfId="2" applyNumberFormat="1" applyFont="1" applyFill="1" applyBorder="1" applyAlignment="1">
      <alignment vertical="top"/>
    </xf>
    <xf numFmtId="3" fontId="15" fillId="4" borderId="67" xfId="2" applyNumberFormat="1" applyFont="1" applyFill="1" applyBorder="1" applyAlignment="1">
      <alignment vertical="top"/>
    </xf>
    <xf numFmtId="3" fontId="15" fillId="4" borderId="66" xfId="2" applyNumberFormat="1" applyFont="1" applyFill="1" applyBorder="1" applyAlignment="1">
      <alignment vertical="top"/>
    </xf>
    <xf numFmtId="3" fontId="15" fillId="4" borderId="74" xfId="2" applyNumberFormat="1" applyFont="1" applyFill="1" applyBorder="1" applyAlignment="1">
      <alignment vertical="top"/>
    </xf>
    <xf numFmtId="165" fontId="15" fillId="4" borderId="65" xfId="2" applyNumberFormat="1" applyFont="1" applyFill="1" applyBorder="1" applyAlignment="1">
      <alignment vertical="top"/>
    </xf>
    <xf numFmtId="3" fontId="42" fillId="0" borderId="0" xfId="0" applyNumberFormat="1" applyFont="1"/>
    <xf numFmtId="43" fontId="16" fillId="0" borderId="0" xfId="0" applyNumberFormat="1" applyFont="1" applyAlignment="1">
      <alignment horizontal="center"/>
    </xf>
    <xf numFmtId="3" fontId="22" fillId="5" borderId="65" xfId="2" applyNumberFormat="1" applyFont="1" applyFill="1" applyBorder="1" applyAlignment="1">
      <alignment vertical="top" wrapText="1"/>
    </xf>
    <xf numFmtId="3" fontId="22" fillId="5" borderId="64" xfId="2" applyNumberFormat="1" applyFont="1" applyFill="1" applyBorder="1" applyAlignment="1">
      <alignment vertical="top"/>
    </xf>
    <xf numFmtId="3" fontId="22" fillId="5" borderId="65" xfId="2" applyNumberFormat="1" applyFont="1" applyFill="1" applyBorder="1" applyAlignment="1">
      <alignment vertical="top"/>
    </xf>
    <xf numFmtId="3" fontId="22" fillId="5" borderId="67" xfId="2" applyNumberFormat="1" applyFont="1" applyFill="1" applyBorder="1" applyAlignment="1">
      <alignment vertical="top"/>
    </xf>
    <xf numFmtId="3" fontId="22" fillId="5" borderId="66" xfId="2" applyNumberFormat="1" applyFont="1" applyFill="1" applyBorder="1" applyAlignment="1">
      <alignment vertical="top"/>
    </xf>
    <xf numFmtId="3" fontId="22" fillId="5" borderId="74" xfId="2" applyNumberFormat="1" applyFont="1" applyFill="1" applyBorder="1" applyAlignment="1">
      <alignment vertical="top"/>
    </xf>
    <xf numFmtId="165" fontId="22" fillId="5" borderId="65" xfId="2" applyNumberFormat="1" applyFont="1" applyFill="1" applyBorder="1" applyAlignment="1">
      <alignment vertical="top"/>
    </xf>
    <xf numFmtId="3" fontId="25" fillId="5" borderId="64" xfId="2" applyNumberFormat="1" applyFont="1" applyFill="1" applyBorder="1" applyAlignment="1">
      <alignment vertical="top"/>
    </xf>
    <xf numFmtId="3" fontId="25" fillId="5" borderId="74" xfId="2" applyNumberFormat="1" applyFont="1" applyFill="1" applyBorder="1" applyAlignment="1">
      <alignment vertical="top"/>
    </xf>
    <xf numFmtId="3" fontId="25" fillId="5" borderId="67" xfId="2" applyNumberFormat="1" applyFont="1" applyFill="1" applyBorder="1" applyAlignment="1">
      <alignment vertical="top"/>
    </xf>
    <xf numFmtId="3" fontId="25" fillId="5" borderId="66" xfId="2" applyNumberFormat="1" applyFont="1" applyFill="1" applyBorder="1" applyAlignment="1">
      <alignment vertical="top"/>
    </xf>
    <xf numFmtId="165" fontId="25" fillId="5" borderId="65" xfId="2" applyNumberFormat="1" applyFont="1" applyFill="1" applyBorder="1" applyAlignment="1">
      <alignment vertical="top"/>
    </xf>
    <xf numFmtId="3" fontId="25" fillId="5" borderId="65" xfId="2" applyNumberFormat="1" applyFont="1" applyFill="1" applyBorder="1" applyAlignment="1">
      <alignment vertical="top"/>
    </xf>
    <xf numFmtId="0" fontId="7" fillId="5" borderId="65" xfId="2" applyFont="1" applyFill="1" applyBorder="1" applyAlignment="1">
      <alignment horizontal="left" vertical="center"/>
    </xf>
    <xf numFmtId="165" fontId="7" fillId="5" borderId="67" xfId="2" applyNumberFormat="1" applyFont="1" applyFill="1" applyBorder="1" applyAlignment="1">
      <alignment vertical="top"/>
    </xf>
    <xf numFmtId="0" fontId="22" fillId="5" borderId="65" xfId="2" applyFont="1" applyFill="1" applyBorder="1" applyAlignment="1">
      <alignment vertical="top"/>
    </xf>
    <xf numFmtId="165" fontId="22" fillId="5" borderId="67" xfId="2" applyNumberFormat="1" applyFont="1" applyFill="1" applyBorder="1" applyAlignment="1">
      <alignment vertical="top"/>
    </xf>
    <xf numFmtId="0" fontId="7" fillId="5" borderId="71" xfId="2" applyFont="1" applyFill="1" applyBorder="1" applyAlignment="1">
      <alignment vertical="center"/>
    </xf>
    <xf numFmtId="3" fontId="7" fillId="5" borderId="70" xfId="2" applyNumberFormat="1" applyFont="1" applyFill="1" applyBorder="1" applyAlignment="1">
      <alignment vertical="top"/>
    </xf>
    <xf numFmtId="3" fontId="7" fillId="5" borderId="71" xfId="2" applyNumberFormat="1" applyFont="1" applyFill="1" applyBorder="1" applyAlignment="1">
      <alignment vertical="top"/>
    </xf>
    <xf numFmtId="3" fontId="7" fillId="5" borderId="73" xfId="2" applyNumberFormat="1" applyFont="1" applyFill="1" applyBorder="1" applyAlignment="1">
      <alignment vertical="top"/>
    </xf>
    <xf numFmtId="3" fontId="7" fillId="5" borderId="72" xfId="2" applyNumberFormat="1" applyFont="1" applyFill="1" applyBorder="1" applyAlignment="1">
      <alignment vertical="top"/>
    </xf>
    <xf numFmtId="3" fontId="7" fillId="5" borderId="75" xfId="2" applyNumberFormat="1" applyFont="1" applyFill="1" applyBorder="1" applyAlignment="1">
      <alignment vertical="top"/>
    </xf>
    <xf numFmtId="165" fontId="7" fillId="5" borderId="73" xfId="2" applyNumberFormat="1" applyFont="1" applyFill="1" applyBorder="1" applyAlignment="1">
      <alignment vertical="top"/>
    </xf>
    <xf numFmtId="0" fontId="5" fillId="17" borderId="61" xfId="2" applyFont="1" applyFill="1" applyBorder="1" applyAlignment="1">
      <alignment vertical="center" wrapText="1"/>
    </xf>
    <xf numFmtId="0" fontId="34" fillId="17" borderId="62" xfId="2" applyFont="1" applyFill="1" applyBorder="1" applyAlignment="1">
      <alignment vertical="top" wrapText="1"/>
    </xf>
    <xf numFmtId="3" fontId="7" fillId="17" borderId="60" xfId="2" applyNumberFormat="1" applyFont="1" applyFill="1" applyBorder="1" applyAlignment="1">
      <alignment horizontal="right" vertical="center"/>
    </xf>
    <xf numFmtId="3" fontId="5" fillId="17" borderId="61" xfId="2" applyNumberFormat="1" applyFont="1" applyFill="1" applyBorder="1" applyAlignment="1">
      <alignment horizontal="right" vertical="center"/>
    </xf>
    <xf numFmtId="3" fontId="7" fillId="17" borderId="61" xfId="2" applyNumberFormat="1" applyFont="1" applyFill="1" applyBorder="1" applyAlignment="1">
      <alignment horizontal="right" vertical="center"/>
    </xf>
    <xf numFmtId="3" fontId="7" fillId="17" borderId="62" xfId="2" applyNumberFormat="1" applyFont="1" applyFill="1" applyBorder="1" applyAlignment="1">
      <alignment horizontal="right" vertical="center"/>
    </xf>
    <xf numFmtId="165" fontId="7" fillId="17" borderId="61" xfId="2" applyNumberFormat="1" applyFont="1" applyFill="1" applyBorder="1" applyAlignment="1">
      <alignment horizontal="right" vertical="center"/>
    </xf>
    <xf numFmtId="0" fontId="15" fillId="19" borderId="76" xfId="2" applyFont="1" applyFill="1" applyBorder="1" applyAlignment="1">
      <alignment horizontal="left" vertical="center"/>
    </xf>
    <xf numFmtId="0" fontId="20" fillId="19" borderId="77" xfId="2" applyFont="1" applyFill="1" applyBorder="1" applyAlignment="1">
      <alignment horizontal="left" vertical="center"/>
    </xf>
    <xf numFmtId="3" fontId="5" fillId="19" borderId="78" xfId="2" applyNumberFormat="1" applyFont="1" applyFill="1" applyBorder="1" applyAlignment="1">
      <alignment horizontal="right" vertical="center"/>
    </xf>
    <xf numFmtId="3" fontId="5" fillId="19" borderId="76" xfId="2" applyNumberFormat="1" applyFont="1" applyFill="1" applyBorder="1" applyAlignment="1">
      <alignment horizontal="right" vertical="center"/>
    </xf>
    <xf numFmtId="3" fontId="5" fillId="19" borderId="79" xfId="2" applyNumberFormat="1" applyFont="1" applyFill="1" applyBorder="1" applyAlignment="1">
      <alignment horizontal="right" vertical="center"/>
    </xf>
    <xf numFmtId="3" fontId="5" fillId="19" borderId="77" xfId="2" applyNumberFormat="1" applyFont="1" applyFill="1" applyBorder="1" applyAlignment="1">
      <alignment horizontal="right" vertical="center"/>
    </xf>
    <xf numFmtId="3" fontId="5" fillId="19" borderId="85" xfId="2" applyNumberFormat="1" applyFont="1" applyFill="1" applyBorder="1" applyAlignment="1">
      <alignment horizontal="right" vertical="center"/>
    </xf>
    <xf numFmtId="165" fontId="5" fillId="19" borderId="79" xfId="2" applyNumberFormat="1" applyFont="1" applyFill="1" applyBorder="1" applyAlignment="1">
      <alignment horizontal="right" vertical="center"/>
    </xf>
    <xf numFmtId="3" fontId="6" fillId="17" borderId="80" xfId="2" applyNumberFormat="1" applyFont="1" applyFill="1" applyBorder="1" applyAlignment="1">
      <alignment vertical="top" wrapText="1"/>
    </xf>
    <xf numFmtId="0" fontId="20" fillId="17" borderId="81" xfId="2" applyFont="1" applyFill="1" applyBorder="1" applyAlignment="1">
      <alignment horizontal="left" vertical="center"/>
    </xf>
    <xf numFmtId="3" fontId="6" fillId="17" borderId="80" xfId="2" applyNumberFormat="1" applyFont="1" applyFill="1" applyBorder="1" applyAlignment="1">
      <alignment horizontal="right" vertical="center"/>
    </xf>
    <xf numFmtId="3" fontId="6" fillId="17" borderId="83" xfId="2" applyNumberFormat="1" applyFont="1" applyFill="1" applyBorder="1" applyAlignment="1">
      <alignment horizontal="right" vertical="center"/>
    </xf>
    <xf numFmtId="3" fontId="6" fillId="17" borderId="81" xfId="2" applyNumberFormat="1" applyFont="1" applyFill="1" applyBorder="1" applyAlignment="1">
      <alignment horizontal="right" vertical="center"/>
    </xf>
    <xf numFmtId="3" fontId="6" fillId="17" borderId="91" xfId="2" applyNumberFormat="1" applyFont="1" applyFill="1" applyBorder="1" applyAlignment="1">
      <alignment horizontal="right" vertical="center"/>
    </xf>
    <xf numFmtId="3" fontId="6" fillId="17" borderId="82" xfId="2" applyNumberFormat="1" applyFont="1" applyFill="1" applyBorder="1" applyAlignment="1">
      <alignment horizontal="right" vertical="center"/>
    </xf>
    <xf numFmtId="165" fontId="6" fillId="17" borderId="83" xfId="2" applyNumberFormat="1" applyFont="1" applyFill="1" applyBorder="1" applyAlignment="1">
      <alignment horizontal="right" vertical="center"/>
    </xf>
    <xf numFmtId="3" fontId="7" fillId="17" borderId="65" xfId="2" applyNumberFormat="1" applyFont="1" applyFill="1" applyBorder="1" applyAlignment="1">
      <alignment vertical="top" wrapText="1"/>
    </xf>
    <xf numFmtId="0" fontId="20" fillId="17" borderId="66" xfId="2" applyFont="1" applyFill="1" applyBorder="1" applyAlignment="1">
      <alignment horizontal="left" vertical="center"/>
    </xf>
    <xf numFmtId="3" fontId="7" fillId="17" borderId="64" xfId="2" applyNumberFormat="1" applyFont="1" applyFill="1" applyBorder="1" applyAlignment="1">
      <alignment horizontal="right" vertical="center"/>
    </xf>
    <xf numFmtId="3" fontId="7" fillId="17" borderId="65" xfId="2" applyNumberFormat="1" applyFont="1" applyFill="1" applyBorder="1" applyAlignment="1">
      <alignment horizontal="right" vertical="center"/>
    </xf>
    <xf numFmtId="3" fontId="7" fillId="17" borderId="67" xfId="2" applyNumberFormat="1" applyFont="1" applyFill="1" applyBorder="1" applyAlignment="1">
      <alignment horizontal="right" vertical="center"/>
    </xf>
    <xf numFmtId="3" fontId="7" fillId="17" borderId="66" xfId="2" applyNumberFormat="1" applyFont="1" applyFill="1" applyBorder="1" applyAlignment="1">
      <alignment horizontal="right" vertical="center"/>
    </xf>
    <xf numFmtId="3" fontId="7" fillId="17" borderId="74" xfId="2" applyNumberFormat="1" applyFont="1" applyFill="1" applyBorder="1" applyAlignment="1">
      <alignment horizontal="right" vertical="center"/>
    </xf>
    <xf numFmtId="165" fontId="7" fillId="17" borderId="67" xfId="2" applyNumberFormat="1" applyFont="1" applyFill="1" applyBorder="1" applyAlignment="1">
      <alignment horizontal="right" vertical="center"/>
    </xf>
    <xf numFmtId="0" fontId="7" fillId="17" borderId="65" xfId="2" applyFont="1" applyFill="1" applyBorder="1" applyAlignment="1">
      <alignment vertical="top"/>
    </xf>
    <xf numFmtId="43" fontId="7" fillId="17" borderId="67" xfId="1" applyFont="1" applyFill="1" applyBorder="1" applyAlignment="1">
      <alignment horizontal="right" vertical="center"/>
    </xf>
    <xf numFmtId="43" fontId="7" fillId="17" borderId="66" xfId="1" applyFont="1" applyFill="1" applyBorder="1" applyAlignment="1">
      <alignment horizontal="right" vertical="center"/>
    </xf>
    <xf numFmtId="43" fontId="7" fillId="17" borderId="65" xfId="1" applyFont="1" applyFill="1" applyBorder="1" applyAlignment="1">
      <alignment horizontal="right" vertical="center"/>
    </xf>
    <xf numFmtId="0" fontId="6" fillId="17" borderId="65" xfId="2" applyFont="1" applyFill="1" applyBorder="1" applyAlignment="1">
      <alignment vertical="top"/>
    </xf>
    <xf numFmtId="3" fontId="6" fillId="17" borderId="64" xfId="2" applyNumberFormat="1" applyFont="1" applyFill="1" applyBorder="1" applyAlignment="1">
      <alignment horizontal="right" vertical="center"/>
    </xf>
    <xf numFmtId="3" fontId="6" fillId="17" borderId="65" xfId="2" applyNumberFormat="1" applyFont="1" applyFill="1" applyBorder="1" applyAlignment="1">
      <alignment horizontal="right" vertical="center"/>
    </xf>
    <xf numFmtId="3" fontId="6" fillId="17" borderId="67" xfId="2" applyNumberFormat="1" applyFont="1" applyFill="1" applyBorder="1" applyAlignment="1">
      <alignment horizontal="right" vertical="center"/>
    </xf>
    <xf numFmtId="3" fontId="6" fillId="17" borderId="66" xfId="2" applyNumberFormat="1" applyFont="1" applyFill="1" applyBorder="1" applyAlignment="1">
      <alignment horizontal="right" vertical="center"/>
    </xf>
    <xf numFmtId="3" fontId="6" fillId="17" borderId="74" xfId="2" applyNumberFormat="1" applyFont="1" applyFill="1" applyBorder="1" applyAlignment="1">
      <alignment horizontal="right" vertical="center"/>
    </xf>
    <xf numFmtId="165" fontId="6" fillId="17" borderId="67" xfId="2" applyNumberFormat="1" applyFont="1" applyFill="1" applyBorder="1" applyAlignment="1">
      <alignment horizontal="right" vertical="center"/>
    </xf>
    <xf numFmtId="43" fontId="16" fillId="17" borderId="64" xfId="1" applyFont="1" applyFill="1" applyBorder="1" applyAlignment="1">
      <alignment vertical="center"/>
    </xf>
    <xf numFmtId="43" fontId="16" fillId="17" borderId="65" xfId="1" applyFont="1" applyFill="1" applyBorder="1" applyAlignment="1">
      <alignment vertical="center"/>
    </xf>
    <xf numFmtId="43" fontId="16" fillId="17" borderId="67" xfId="1" applyFont="1" applyFill="1" applyBorder="1" applyAlignment="1">
      <alignment vertical="center"/>
    </xf>
    <xf numFmtId="43" fontId="16" fillId="17" borderId="66" xfId="1" applyFont="1" applyFill="1" applyBorder="1" applyAlignment="1">
      <alignment vertical="center"/>
    </xf>
    <xf numFmtId="43" fontId="16" fillId="17" borderId="74" xfId="1" applyFont="1" applyFill="1" applyBorder="1" applyAlignment="1">
      <alignment vertical="center"/>
    </xf>
    <xf numFmtId="3" fontId="16" fillId="17" borderId="64" xfId="3" applyNumberFormat="1" applyFont="1" applyFill="1" applyBorder="1" applyAlignment="1">
      <alignment vertical="center"/>
    </xf>
    <xf numFmtId="3" fontId="16" fillId="17" borderId="74" xfId="3" applyNumberFormat="1" applyFont="1" applyFill="1" applyBorder="1" applyAlignment="1">
      <alignment vertical="center"/>
    </xf>
    <xf numFmtId="3" fontId="16" fillId="17" borderId="67" xfId="3" applyNumberFormat="1" applyFont="1" applyFill="1" applyBorder="1" applyAlignment="1">
      <alignment vertical="center"/>
    </xf>
    <xf numFmtId="3" fontId="16" fillId="17" borderId="66" xfId="3" applyNumberFormat="1" applyFont="1" applyFill="1" applyBorder="1" applyAlignment="1">
      <alignment vertical="center"/>
    </xf>
    <xf numFmtId="165" fontId="16" fillId="17" borderId="67" xfId="3" applyNumberFormat="1" applyFont="1" applyFill="1" applyBorder="1" applyAlignment="1">
      <alignment vertical="center"/>
    </xf>
    <xf numFmtId="3" fontId="16" fillId="17" borderId="65" xfId="3" applyNumberFormat="1" applyFont="1" applyFill="1" applyBorder="1" applyAlignment="1">
      <alignment vertical="center"/>
    </xf>
    <xf numFmtId="3" fontId="22" fillId="17" borderId="80" xfId="2" applyNumberFormat="1" applyFont="1" applyFill="1" applyBorder="1" applyAlignment="1">
      <alignment vertical="top" wrapText="1"/>
    </xf>
    <xf numFmtId="3" fontId="43" fillId="17" borderId="82" xfId="3" applyNumberFormat="1" applyFont="1" applyFill="1" applyBorder="1" applyAlignment="1">
      <alignment vertical="center"/>
    </xf>
    <xf numFmtId="3" fontId="43" fillId="17" borderId="80" xfId="3" applyNumberFormat="1" applyFont="1" applyFill="1" applyBorder="1" applyAlignment="1">
      <alignment vertical="center"/>
    </xf>
    <xf numFmtId="3" fontId="43" fillId="17" borderId="83" xfId="3" applyNumberFormat="1" applyFont="1" applyFill="1" applyBorder="1" applyAlignment="1">
      <alignment vertical="center"/>
    </xf>
    <xf numFmtId="3" fontId="43" fillId="17" borderId="81" xfId="3" applyNumberFormat="1" applyFont="1" applyFill="1" applyBorder="1" applyAlignment="1">
      <alignment vertical="center"/>
    </xf>
    <xf numFmtId="3" fontId="43" fillId="17" borderId="91" xfId="3" applyNumberFormat="1" applyFont="1" applyFill="1" applyBorder="1" applyAlignment="1">
      <alignment vertical="center"/>
    </xf>
    <xf numFmtId="165" fontId="43" fillId="17" borderId="83" xfId="3" applyNumberFormat="1" applyFont="1" applyFill="1" applyBorder="1" applyAlignment="1">
      <alignment vertical="center"/>
    </xf>
    <xf numFmtId="0" fontId="7" fillId="17" borderId="65" xfId="2" applyFont="1" applyFill="1" applyBorder="1" applyAlignment="1">
      <alignment horizontal="left" vertical="center"/>
    </xf>
    <xf numFmtId="0" fontId="22" fillId="17" borderId="65" xfId="2" applyFont="1" applyFill="1" applyBorder="1" applyAlignment="1">
      <alignment vertical="top"/>
    </xf>
    <xf numFmtId="3" fontId="43" fillId="17" borderId="64" xfId="3" applyNumberFormat="1" applyFont="1" applyFill="1" applyBorder="1" applyAlignment="1">
      <alignment vertical="center"/>
    </xf>
    <xf numFmtId="3" fontId="43" fillId="17" borderId="65" xfId="3" applyNumberFormat="1" applyFont="1" applyFill="1" applyBorder="1" applyAlignment="1">
      <alignment vertical="center"/>
    </xf>
    <xf numFmtId="3" fontId="43" fillId="17" borderId="67" xfId="3" applyNumberFormat="1" applyFont="1" applyFill="1" applyBorder="1" applyAlignment="1">
      <alignment vertical="center"/>
    </xf>
    <xf numFmtId="3" fontId="43" fillId="17" borderId="66" xfId="3" applyNumberFormat="1" applyFont="1" applyFill="1" applyBorder="1" applyAlignment="1">
      <alignment vertical="center"/>
    </xf>
    <xf numFmtId="3" fontId="43" fillId="17" borderId="74" xfId="3" applyNumberFormat="1" applyFont="1" applyFill="1" applyBorder="1" applyAlignment="1">
      <alignment vertical="center"/>
    </xf>
    <xf numFmtId="165" fontId="43" fillId="17" borderId="67" xfId="3" applyNumberFormat="1" applyFont="1" applyFill="1" applyBorder="1" applyAlignment="1">
      <alignment vertical="center"/>
    </xf>
    <xf numFmtId="0" fontId="7" fillId="17" borderId="71" xfId="2" applyFont="1" applyFill="1" applyBorder="1" applyAlignment="1">
      <alignment vertical="center"/>
    </xf>
    <xf numFmtId="3" fontId="16" fillId="17" borderId="70" xfId="3" applyNumberFormat="1" applyFont="1" applyFill="1" applyBorder="1" applyAlignment="1">
      <alignment vertical="center"/>
    </xf>
    <xf numFmtId="3" fontId="16" fillId="17" borderId="75" xfId="3" applyNumberFormat="1" applyFont="1" applyFill="1" applyBorder="1" applyAlignment="1">
      <alignment vertical="center"/>
    </xf>
    <xf numFmtId="3" fontId="16" fillId="17" borderId="73" xfId="3" applyNumberFormat="1" applyFont="1" applyFill="1" applyBorder="1" applyAlignment="1">
      <alignment vertical="center"/>
    </xf>
    <xf numFmtId="3" fontId="16" fillId="17" borderId="72" xfId="3" applyNumberFormat="1" applyFont="1" applyFill="1" applyBorder="1" applyAlignment="1">
      <alignment vertical="center"/>
    </xf>
    <xf numFmtId="3" fontId="16" fillId="17" borderId="71" xfId="3" applyNumberFormat="1" applyFont="1" applyFill="1" applyBorder="1" applyAlignment="1">
      <alignment vertical="center"/>
    </xf>
    <xf numFmtId="3" fontId="16" fillId="17" borderId="141" xfId="3" applyNumberFormat="1" applyFont="1" applyFill="1" applyBorder="1" applyAlignment="1">
      <alignment vertical="center"/>
    </xf>
    <xf numFmtId="165" fontId="16" fillId="17" borderId="73" xfId="3" applyNumberFormat="1" applyFont="1" applyFill="1" applyBorder="1" applyAlignment="1">
      <alignment vertical="center"/>
    </xf>
    <xf numFmtId="0" fontId="5" fillId="14" borderId="61" xfId="2" applyFont="1" applyFill="1" applyBorder="1" applyAlignment="1">
      <alignment vertical="top" wrapText="1"/>
    </xf>
    <xf numFmtId="0" fontId="34" fillId="14" borderId="62" xfId="2" applyFont="1" applyFill="1" applyBorder="1" applyAlignment="1">
      <alignment horizontal="center" vertical="center" wrapText="1"/>
    </xf>
    <xf numFmtId="3" fontId="5" fillId="14" borderId="60" xfId="2" applyNumberFormat="1" applyFont="1" applyFill="1" applyBorder="1" applyAlignment="1"/>
    <xf numFmtId="3" fontId="5" fillId="14" borderId="61" xfId="2" applyNumberFormat="1" applyFont="1" applyFill="1" applyBorder="1" applyAlignment="1">
      <alignment horizontal="right" vertical="center"/>
    </xf>
    <xf numFmtId="3" fontId="5" fillId="14" borderId="62" xfId="2" applyNumberFormat="1" applyFont="1" applyFill="1" applyBorder="1" applyAlignment="1">
      <alignment horizontal="right" vertical="center"/>
    </xf>
    <xf numFmtId="3" fontId="5" fillId="14" borderId="60" xfId="2" applyNumberFormat="1" applyFont="1" applyFill="1" applyBorder="1" applyAlignment="1">
      <alignment horizontal="right" vertical="center"/>
    </xf>
    <xf numFmtId="165" fontId="5" fillId="14" borderId="61" xfId="2" applyNumberFormat="1" applyFont="1" applyFill="1" applyBorder="1" applyAlignment="1">
      <alignment horizontal="right" vertical="center"/>
    </xf>
    <xf numFmtId="0" fontId="20" fillId="0" borderId="84" xfId="2" applyFont="1" applyFill="1" applyBorder="1" applyAlignment="1">
      <alignment horizontal="center" vertical="center" wrapText="1"/>
    </xf>
    <xf numFmtId="0" fontId="15" fillId="4" borderId="76" xfId="2" applyFont="1" applyFill="1" applyBorder="1" applyAlignment="1">
      <alignment horizontal="left" vertical="center"/>
    </xf>
    <xf numFmtId="0" fontId="20" fillId="4" borderId="77" xfId="2" applyFont="1" applyFill="1" applyBorder="1" applyAlignment="1">
      <alignment horizontal="left" vertical="center"/>
    </xf>
    <xf numFmtId="3" fontId="5" fillId="4" borderId="85" xfId="2" applyNumberFormat="1" applyFont="1" applyFill="1" applyBorder="1" applyAlignment="1"/>
    <xf numFmtId="3" fontId="5" fillId="4" borderId="76" xfId="2" applyNumberFormat="1" applyFont="1" applyFill="1" applyBorder="1" applyAlignment="1"/>
    <xf numFmtId="43" fontId="5" fillId="4" borderId="77" xfId="1" applyFont="1" applyFill="1" applyBorder="1" applyAlignment="1"/>
    <xf numFmtId="165" fontId="5" fillId="4" borderId="79" xfId="2" applyNumberFormat="1" applyFont="1" applyFill="1" applyBorder="1" applyAlignment="1"/>
    <xf numFmtId="3" fontId="22" fillId="2" borderId="80" xfId="2" applyNumberFormat="1" applyFont="1" applyFill="1" applyBorder="1" applyAlignment="1">
      <alignment vertical="top" wrapText="1"/>
    </xf>
    <xf numFmtId="3" fontId="22" fillId="0" borderId="87" xfId="2" applyNumberFormat="1" applyFont="1" applyFill="1" applyBorder="1" applyAlignment="1"/>
    <xf numFmtId="3" fontId="22" fillId="0" borderId="86" xfId="2" applyNumberFormat="1" applyFont="1" applyFill="1" applyBorder="1" applyAlignment="1"/>
    <xf numFmtId="43" fontId="5" fillId="0" borderId="81" xfId="1" applyFont="1" applyFill="1" applyBorder="1" applyAlignment="1"/>
    <xf numFmtId="3" fontId="22" fillId="0" borderId="82" xfId="2" applyNumberFormat="1" applyFont="1" applyFill="1" applyBorder="1" applyAlignment="1"/>
    <xf numFmtId="165" fontId="22" fillId="0" borderId="80" xfId="2" applyNumberFormat="1" applyFont="1" applyFill="1" applyBorder="1" applyAlignment="1"/>
    <xf numFmtId="3" fontId="22" fillId="0" borderId="80" xfId="2" applyNumberFormat="1" applyFont="1" applyFill="1" applyBorder="1" applyAlignment="1"/>
    <xf numFmtId="0" fontId="7" fillId="0" borderId="65" xfId="2" applyFont="1" applyFill="1" applyBorder="1" applyAlignment="1">
      <alignment vertical="top"/>
    </xf>
    <xf numFmtId="3" fontId="16" fillId="0" borderId="64" xfId="3" applyNumberFormat="1" applyFont="1" applyFill="1" applyBorder="1" applyAlignment="1">
      <alignment vertical="center"/>
    </xf>
    <xf numFmtId="43" fontId="7" fillId="0" borderId="65" xfId="1" applyFont="1" applyFill="1" applyBorder="1" applyAlignment="1">
      <alignment horizontal="right" vertical="center"/>
    </xf>
    <xf numFmtId="3" fontId="7" fillId="0" borderId="65" xfId="2" applyNumberFormat="1" applyFont="1" applyFill="1" applyBorder="1" applyAlignment="1">
      <alignment horizontal="right" vertical="center"/>
    </xf>
    <xf numFmtId="43" fontId="7" fillId="0" borderId="66" xfId="1" applyFont="1" applyFill="1" applyBorder="1" applyAlignment="1">
      <alignment horizontal="right" vertical="center"/>
    </xf>
    <xf numFmtId="3" fontId="7" fillId="0" borderId="64" xfId="2" applyNumberFormat="1" applyFont="1" applyFill="1" applyBorder="1" applyAlignment="1">
      <alignment horizontal="right" vertical="center"/>
    </xf>
    <xf numFmtId="165" fontId="7" fillId="0" borderId="65" xfId="2" applyNumberFormat="1" applyFont="1" applyFill="1" applyBorder="1" applyAlignment="1">
      <alignment horizontal="right" vertical="center"/>
    </xf>
    <xf numFmtId="0" fontId="22" fillId="2" borderId="65" xfId="2" applyFont="1" applyFill="1" applyBorder="1" applyAlignment="1">
      <alignment vertical="top"/>
    </xf>
    <xf numFmtId="3" fontId="43" fillId="0" borderId="64" xfId="3" applyNumberFormat="1" applyFont="1" applyFill="1" applyBorder="1" applyAlignment="1">
      <alignment vertical="center"/>
    </xf>
    <xf numFmtId="3" fontId="43" fillId="0" borderId="65" xfId="3" applyNumberFormat="1" applyFont="1" applyFill="1" applyBorder="1" applyAlignment="1">
      <alignment vertical="center"/>
    </xf>
    <xf numFmtId="43" fontId="43" fillId="0" borderId="65" xfId="1" applyFont="1" applyFill="1" applyBorder="1" applyAlignment="1">
      <alignment vertical="center"/>
    </xf>
    <xf numFmtId="43" fontId="43" fillId="0" borderId="66" xfId="1" applyFont="1" applyFill="1" applyBorder="1" applyAlignment="1">
      <alignment vertical="center"/>
    </xf>
    <xf numFmtId="165" fontId="43" fillId="0" borderId="65" xfId="3" applyNumberFormat="1" applyFont="1" applyFill="1" applyBorder="1" applyAlignment="1">
      <alignment vertical="center"/>
    </xf>
    <xf numFmtId="43" fontId="16" fillId="0" borderId="64" xfId="1" applyFont="1" applyFill="1" applyBorder="1" applyAlignment="1">
      <alignment vertical="center"/>
    </xf>
    <xf numFmtId="43" fontId="7" fillId="0" borderId="64" xfId="1" applyFont="1" applyFill="1" applyBorder="1" applyAlignment="1">
      <alignment horizontal="right" vertical="center"/>
    </xf>
    <xf numFmtId="3" fontId="5" fillId="4" borderId="78" xfId="2" applyNumberFormat="1" applyFont="1" applyFill="1" applyBorder="1" applyAlignment="1"/>
    <xf numFmtId="165" fontId="5" fillId="4" borderId="76" xfId="2" applyNumberFormat="1" applyFont="1" applyFill="1" applyBorder="1" applyAlignment="1"/>
    <xf numFmtId="0" fontId="20" fillId="0" borderId="81" xfId="2" applyFont="1" applyFill="1" applyBorder="1" applyAlignment="1">
      <alignment horizontal="left" vertical="center"/>
    </xf>
    <xf numFmtId="3" fontId="5" fillId="0" borderId="82" xfId="2" applyNumberFormat="1" applyFont="1" applyFill="1" applyBorder="1" applyAlignment="1"/>
    <xf numFmtId="3" fontId="5" fillId="0" borderId="80" xfId="2" applyNumberFormat="1" applyFont="1" applyFill="1" applyBorder="1" applyAlignment="1"/>
    <xf numFmtId="0" fontId="20" fillId="0" borderId="66" xfId="2" applyFont="1" applyFill="1" applyBorder="1" applyAlignment="1">
      <alignment horizontal="left" vertical="center"/>
    </xf>
    <xf numFmtId="0" fontId="7" fillId="0" borderId="71" xfId="2" applyFont="1" applyFill="1" applyBorder="1" applyAlignment="1">
      <alignment vertical="center"/>
    </xf>
    <xf numFmtId="3" fontId="16" fillId="0" borderId="70" xfId="3" applyNumberFormat="1" applyFont="1" applyFill="1" applyBorder="1" applyAlignment="1">
      <alignment vertical="center"/>
    </xf>
    <xf numFmtId="43" fontId="7" fillId="0" borderId="71" xfId="1" applyFont="1" applyFill="1" applyBorder="1" applyAlignment="1">
      <alignment horizontal="right" vertical="center"/>
    </xf>
    <xf numFmtId="3" fontId="7" fillId="0" borderId="71" xfId="2" applyNumberFormat="1" applyFont="1" applyFill="1" applyBorder="1" applyAlignment="1">
      <alignment horizontal="right" vertical="center"/>
    </xf>
    <xf numFmtId="43" fontId="25" fillId="0" borderId="81" xfId="1" applyFont="1" applyFill="1" applyBorder="1" applyAlignment="1"/>
    <xf numFmtId="3" fontId="7" fillId="0" borderId="70" xfId="2" applyNumberFormat="1" applyFont="1" applyFill="1" applyBorder="1" applyAlignment="1">
      <alignment horizontal="right" vertical="center"/>
    </xf>
    <xf numFmtId="165" fontId="7" fillId="0" borderId="71" xfId="2" applyNumberFormat="1" applyFont="1" applyFill="1" applyBorder="1" applyAlignment="1">
      <alignment horizontal="right" vertical="center"/>
    </xf>
    <xf numFmtId="3" fontId="7" fillId="14" borderId="60" xfId="2" applyNumberFormat="1" applyFont="1" applyFill="1" applyBorder="1" applyAlignment="1">
      <alignment horizontal="right" vertical="center"/>
    </xf>
    <xf numFmtId="3" fontId="7" fillId="14" borderId="61" xfId="2" applyNumberFormat="1" applyFont="1" applyFill="1" applyBorder="1" applyAlignment="1">
      <alignment horizontal="right" vertical="center"/>
    </xf>
    <xf numFmtId="0" fontId="16" fillId="0" borderId="0" xfId="0" applyFont="1" applyAlignment="1"/>
    <xf numFmtId="3" fontId="15" fillId="4" borderId="78" xfId="2" applyNumberFormat="1" applyFont="1" applyFill="1" applyBorder="1" applyAlignment="1">
      <alignment horizontal="right" vertical="center"/>
    </xf>
    <xf numFmtId="3" fontId="15" fillId="4" borderId="76" xfId="2" applyNumberFormat="1" applyFont="1" applyFill="1" applyBorder="1" applyAlignment="1">
      <alignment horizontal="right" vertical="center"/>
    </xf>
    <xf numFmtId="165" fontId="15" fillId="4" borderId="76" xfId="2" applyNumberFormat="1" applyFont="1" applyFill="1" applyBorder="1" applyAlignment="1">
      <alignment horizontal="right" vertical="center"/>
    </xf>
    <xf numFmtId="3" fontId="22" fillId="0" borderId="82" xfId="2" applyNumberFormat="1" applyFont="1" applyFill="1" applyBorder="1" applyAlignment="1">
      <alignment horizontal="right" vertical="center"/>
    </xf>
    <xf numFmtId="3" fontId="22" fillId="0" borderId="80" xfId="2" applyNumberFormat="1" applyFont="1" applyFill="1" applyBorder="1" applyAlignment="1">
      <alignment horizontal="right" vertical="center"/>
    </xf>
    <xf numFmtId="165" fontId="22" fillId="0" borderId="80" xfId="2" applyNumberFormat="1" applyFont="1" applyFill="1" applyBorder="1" applyAlignment="1">
      <alignment horizontal="right" vertical="center"/>
    </xf>
    <xf numFmtId="3" fontId="25" fillId="0" borderId="65" xfId="2" applyNumberFormat="1" applyFont="1" applyFill="1" applyBorder="1" applyAlignment="1">
      <alignment horizontal="right" vertical="center"/>
    </xf>
    <xf numFmtId="165" fontId="25" fillId="0" borderId="65" xfId="2" applyNumberFormat="1" applyFont="1" applyFill="1" applyBorder="1" applyAlignment="1">
      <alignment horizontal="right" vertical="center"/>
    </xf>
    <xf numFmtId="43" fontId="25" fillId="0" borderId="65" xfId="1" applyFont="1" applyFill="1" applyBorder="1" applyAlignment="1">
      <alignment horizontal="right" vertical="center"/>
    </xf>
    <xf numFmtId="43" fontId="25" fillId="0" borderId="66" xfId="1" applyFont="1" applyFill="1" applyBorder="1" applyAlignment="1">
      <alignment horizontal="right" vertical="center"/>
    </xf>
    <xf numFmtId="0" fontId="16" fillId="0" borderId="0" xfId="0" applyFont="1" applyFill="1" applyAlignment="1"/>
    <xf numFmtId="43" fontId="5" fillId="4" borderId="76" xfId="1" applyFont="1" applyFill="1" applyBorder="1" applyAlignment="1"/>
    <xf numFmtId="43" fontId="22" fillId="0" borderId="86" xfId="1" applyFont="1" applyFill="1" applyBorder="1" applyAlignment="1"/>
    <xf numFmtId="43" fontId="22" fillId="0" borderId="88" xfId="1" applyFont="1" applyFill="1" applyBorder="1" applyAlignment="1"/>
    <xf numFmtId="165" fontId="37" fillId="0" borderId="65" xfId="2" applyNumberFormat="1" applyFont="1" applyFill="1" applyBorder="1" applyAlignment="1">
      <alignment horizontal="right" vertical="center"/>
    </xf>
    <xf numFmtId="43" fontId="25" fillId="0" borderId="80" xfId="1" applyFont="1" applyFill="1" applyBorder="1" applyAlignment="1"/>
    <xf numFmtId="0" fontId="16" fillId="3" borderId="0" xfId="0" applyFont="1" applyFill="1" applyAlignment="1"/>
    <xf numFmtId="43" fontId="22" fillId="0" borderId="80" xfId="1" applyFont="1" applyFill="1" applyBorder="1" applyAlignment="1"/>
    <xf numFmtId="43" fontId="22" fillId="0" borderId="81" xfId="1" applyFont="1" applyFill="1" applyBorder="1" applyAlignment="1"/>
    <xf numFmtId="0" fontId="5" fillId="14" borderId="61" xfId="2" applyFont="1" applyFill="1" applyBorder="1" applyAlignment="1">
      <alignment vertical="center" wrapText="1"/>
    </xf>
    <xf numFmtId="43" fontId="15" fillId="4" borderId="76" xfId="1" applyFont="1" applyFill="1" applyBorder="1" applyAlignment="1">
      <alignment horizontal="right" vertical="center"/>
    </xf>
    <xf numFmtId="43" fontId="15" fillId="4" borderId="77" xfId="1" applyFont="1" applyFill="1" applyBorder="1" applyAlignment="1">
      <alignment horizontal="right" vertical="center"/>
    </xf>
    <xf numFmtId="3" fontId="22" fillId="0" borderId="91" xfId="2" applyNumberFormat="1" applyFont="1" applyFill="1" applyBorder="1" applyAlignment="1">
      <alignment horizontal="right" vertical="center"/>
    </xf>
    <xf numFmtId="3" fontId="22" fillId="0" borderId="92" xfId="2" applyNumberFormat="1" applyFont="1" applyFill="1" applyBorder="1" applyAlignment="1">
      <alignment horizontal="right" vertical="center"/>
    </xf>
    <xf numFmtId="43" fontId="22" fillId="0" borderId="92" xfId="1" applyFont="1" applyFill="1" applyBorder="1" applyAlignment="1">
      <alignment horizontal="right" vertical="center"/>
    </xf>
    <xf numFmtId="43" fontId="22" fillId="0" borderId="88" xfId="1" applyFont="1" applyFill="1" applyBorder="1" applyAlignment="1">
      <alignment horizontal="right" vertical="center"/>
    </xf>
    <xf numFmtId="3" fontId="5" fillId="4" borderId="79" xfId="2" applyNumberFormat="1" applyFont="1" applyFill="1" applyBorder="1" applyAlignment="1"/>
    <xf numFmtId="43" fontId="5" fillId="4" borderId="79" xfId="1" applyFont="1" applyFill="1" applyBorder="1" applyAlignment="1"/>
    <xf numFmtId="3" fontId="5" fillId="0" borderId="91" xfId="2" applyNumberFormat="1" applyFont="1" applyFill="1" applyBorder="1" applyAlignment="1"/>
    <xf numFmtId="3" fontId="5" fillId="0" borderId="92" xfId="2" applyNumberFormat="1" applyFont="1" applyFill="1" applyBorder="1" applyAlignment="1"/>
    <xf numFmtId="43" fontId="5" fillId="0" borderId="92" xfId="1" applyFont="1" applyFill="1" applyBorder="1" applyAlignment="1"/>
    <xf numFmtId="43" fontId="5" fillId="0" borderId="88" xfId="1" applyFont="1" applyFill="1" applyBorder="1" applyAlignment="1"/>
    <xf numFmtId="165" fontId="43" fillId="0" borderId="67" xfId="3" applyNumberFormat="1" applyFont="1" applyFill="1" applyBorder="1" applyAlignment="1">
      <alignment vertical="center"/>
    </xf>
    <xf numFmtId="3" fontId="5" fillId="0" borderId="86" xfId="2" applyNumberFormat="1" applyFont="1" applyFill="1" applyBorder="1" applyAlignment="1"/>
    <xf numFmtId="43" fontId="7" fillId="0" borderId="72" xfId="1" applyFont="1" applyFill="1" applyBorder="1" applyAlignment="1">
      <alignment horizontal="right" vertical="center"/>
    </xf>
    <xf numFmtId="3" fontId="25" fillId="0" borderId="64" xfId="2" applyNumberFormat="1" applyFont="1" applyFill="1" applyBorder="1" applyAlignment="1">
      <alignment horizontal="right" vertical="center"/>
    </xf>
    <xf numFmtId="43" fontId="5" fillId="4" borderId="76" xfId="1" applyFont="1" applyFill="1" applyBorder="1" applyAlignment="1">
      <alignment horizontal="right" vertical="center"/>
    </xf>
    <xf numFmtId="43" fontId="5" fillId="4" borderId="77" xfId="1" applyFont="1" applyFill="1" applyBorder="1" applyAlignment="1">
      <alignment horizontal="right" vertical="center"/>
    </xf>
    <xf numFmtId="43" fontId="6" fillId="0" borderId="88" xfId="1" applyFont="1" applyFill="1" applyBorder="1" applyAlignment="1">
      <alignment horizontal="right" vertical="center"/>
    </xf>
    <xf numFmtId="3" fontId="5" fillId="0" borderId="87" xfId="2" applyNumberFormat="1" applyFont="1" applyFill="1" applyBorder="1" applyAlignment="1"/>
    <xf numFmtId="3" fontId="5" fillId="0" borderId="94" xfId="2" applyNumberFormat="1" applyFont="1" applyFill="1" applyBorder="1" applyAlignment="1"/>
    <xf numFmtId="3" fontId="7" fillId="0" borderId="65" xfId="2" applyNumberFormat="1" applyFont="1" applyFill="1" applyBorder="1" applyAlignment="1"/>
    <xf numFmtId="43" fontId="7" fillId="0" borderId="65" xfId="1" applyFont="1" applyFill="1" applyBorder="1" applyAlignment="1"/>
    <xf numFmtId="43" fontId="5" fillId="0" borderId="89" xfId="1" applyFont="1" applyFill="1" applyBorder="1" applyAlignment="1"/>
    <xf numFmtId="165" fontId="7" fillId="0" borderId="65" xfId="2" applyNumberFormat="1" applyFont="1" applyFill="1" applyBorder="1" applyAlignment="1">
      <alignment horizontal="right"/>
    </xf>
    <xf numFmtId="43" fontId="7" fillId="0" borderId="65" xfId="1" applyFont="1" applyFill="1" applyBorder="1" applyAlignment="1">
      <alignment horizontal="right"/>
    </xf>
    <xf numFmtId="3" fontId="7" fillId="0" borderId="65" xfId="2" applyNumberFormat="1" applyFont="1" applyFill="1" applyBorder="1" applyAlignment="1">
      <alignment horizontal="right"/>
    </xf>
    <xf numFmtId="3" fontId="22" fillId="2" borderId="64" xfId="2" applyNumberFormat="1" applyFont="1" applyFill="1" applyBorder="1" applyAlignment="1"/>
    <xf numFmtId="3" fontId="22" fillId="2" borderId="65" xfId="2" applyNumberFormat="1" applyFont="1" applyFill="1" applyBorder="1" applyAlignment="1"/>
    <xf numFmtId="3" fontId="6" fillId="2" borderId="65" xfId="2" applyNumberFormat="1" applyFont="1" applyFill="1" applyBorder="1" applyAlignment="1"/>
    <xf numFmtId="43" fontId="6" fillId="2" borderId="65" xfId="1" applyFont="1" applyFill="1" applyBorder="1" applyAlignment="1"/>
    <xf numFmtId="43" fontId="6" fillId="2" borderId="66" xfId="1" applyFont="1" applyFill="1" applyBorder="1" applyAlignment="1"/>
    <xf numFmtId="165" fontId="22" fillId="2" borderId="65" xfId="2" applyNumberFormat="1" applyFont="1" applyFill="1" applyBorder="1" applyAlignment="1"/>
    <xf numFmtId="0" fontId="7" fillId="0" borderId="71" xfId="2" applyFont="1" applyFill="1" applyBorder="1" applyAlignment="1">
      <alignment vertical="top"/>
    </xf>
    <xf numFmtId="3" fontId="7" fillId="0" borderId="71" xfId="2" applyNumberFormat="1" applyFont="1" applyFill="1" applyBorder="1" applyAlignment="1">
      <alignment horizontal="right"/>
    </xf>
    <xf numFmtId="43" fontId="7" fillId="0" borderId="71" xfId="1" applyFont="1" applyFill="1" applyBorder="1" applyAlignment="1">
      <alignment horizontal="right"/>
    </xf>
    <xf numFmtId="43" fontId="7" fillId="0" borderId="72" xfId="1" applyFont="1" applyFill="1" applyBorder="1" applyAlignment="1">
      <alignment horizontal="right"/>
    </xf>
    <xf numFmtId="3" fontId="25" fillId="0" borderId="70" xfId="2" applyNumberFormat="1" applyFont="1" applyFill="1" applyBorder="1" applyAlignment="1">
      <alignment horizontal="right" vertical="center"/>
    </xf>
    <xf numFmtId="165" fontId="7" fillId="0" borderId="71" xfId="2" applyNumberFormat="1" applyFont="1" applyFill="1" applyBorder="1" applyAlignment="1">
      <alignment horizontal="right"/>
    </xf>
    <xf numFmtId="3" fontId="25" fillId="0" borderId="71" xfId="2" applyNumberFormat="1" applyFont="1" applyFill="1" applyBorder="1" applyAlignment="1">
      <alignment horizontal="right" vertical="center"/>
    </xf>
    <xf numFmtId="0" fontId="5" fillId="4" borderId="76" xfId="2" applyFont="1" applyFill="1" applyBorder="1" applyAlignment="1">
      <alignment horizontal="left" vertical="center"/>
    </xf>
    <xf numFmtId="0" fontId="34" fillId="4" borderId="77" xfId="2" applyFont="1" applyFill="1" applyBorder="1" applyAlignment="1">
      <alignment horizontal="left" vertical="center"/>
    </xf>
    <xf numFmtId="3" fontId="6" fillId="2" borderId="80" xfId="2" applyNumberFormat="1" applyFont="1" applyFill="1" applyBorder="1" applyAlignment="1">
      <alignment vertical="top" wrapText="1"/>
    </xf>
    <xf numFmtId="3" fontId="22" fillId="0" borderId="87" xfId="2" applyNumberFormat="1" applyFont="1" applyFill="1" applyBorder="1" applyAlignment="1">
      <alignment horizontal="right" vertical="center"/>
    </xf>
    <xf numFmtId="3" fontId="22" fillId="0" borderId="86" xfId="2" applyNumberFormat="1" applyFont="1" applyFill="1" applyBorder="1" applyAlignment="1">
      <alignment horizontal="right" vertical="center"/>
    </xf>
    <xf numFmtId="43" fontId="22" fillId="0" borderId="86" xfId="1" applyFont="1" applyFill="1" applyBorder="1" applyAlignment="1">
      <alignment horizontal="right" vertical="center"/>
    </xf>
    <xf numFmtId="165" fontId="22" fillId="0" borderId="86" xfId="2" applyNumberFormat="1" applyFont="1" applyFill="1" applyBorder="1" applyAlignment="1">
      <alignment horizontal="right" vertical="center"/>
    </xf>
    <xf numFmtId="3" fontId="22" fillId="0" borderId="94" xfId="2" applyNumberFormat="1" applyFont="1" applyFill="1" applyBorder="1" applyAlignment="1">
      <alignment horizontal="right" vertical="center"/>
    </xf>
    <xf numFmtId="0" fontId="6" fillId="2" borderId="65" xfId="2" applyFont="1" applyFill="1" applyBorder="1" applyAlignment="1">
      <alignment vertical="top"/>
    </xf>
    <xf numFmtId="0" fontId="34" fillId="0" borderId="81" xfId="2" applyFont="1" applyFill="1" applyBorder="1" applyAlignment="1">
      <alignment horizontal="left" vertical="center"/>
    </xf>
    <xf numFmtId="43" fontId="25" fillId="0" borderId="83" xfId="1" applyFont="1" applyFill="1" applyBorder="1" applyAlignment="1"/>
    <xf numFmtId="3" fontId="25" fillId="0" borderId="83" xfId="2" applyNumberFormat="1" applyFont="1" applyFill="1" applyBorder="1" applyAlignment="1"/>
    <xf numFmtId="0" fontId="34" fillId="0" borderId="66" xfId="2" applyFont="1" applyFill="1" applyBorder="1" applyAlignment="1">
      <alignment horizontal="left" vertical="center"/>
    </xf>
    <xf numFmtId="3" fontId="16" fillId="0" borderId="65" xfId="3" applyNumberFormat="1" applyFont="1" applyFill="1" applyBorder="1" applyAlignment="1">
      <alignment vertical="center"/>
    </xf>
    <xf numFmtId="165" fontId="16" fillId="0" borderId="65" xfId="3" applyNumberFormat="1" applyFont="1" applyFill="1" applyBorder="1" applyAlignment="1">
      <alignment vertical="center"/>
    </xf>
    <xf numFmtId="43" fontId="22" fillId="2" borderId="65" xfId="1" applyFont="1" applyFill="1" applyBorder="1" applyAlignment="1"/>
    <xf numFmtId="43" fontId="22" fillId="2" borderId="66" xfId="1" applyFont="1" applyFill="1" applyBorder="1" applyAlignment="1"/>
    <xf numFmtId="43" fontId="16" fillId="0" borderId="71" xfId="1" applyFont="1" applyFill="1" applyBorder="1" applyAlignment="1">
      <alignment vertical="center"/>
    </xf>
    <xf numFmtId="3" fontId="16" fillId="0" borderId="71" xfId="3" applyNumberFormat="1" applyFont="1" applyFill="1" applyBorder="1" applyAlignment="1">
      <alignment vertical="center"/>
    </xf>
    <xf numFmtId="43" fontId="16" fillId="0" borderId="72" xfId="1" applyFont="1" applyFill="1" applyBorder="1" applyAlignment="1">
      <alignment vertical="center"/>
    </xf>
    <xf numFmtId="43" fontId="7" fillId="0" borderId="68" xfId="1" applyFont="1" applyFill="1" applyBorder="1" applyAlignment="1">
      <alignment horizontal="right" vertical="center"/>
    </xf>
    <xf numFmtId="43" fontId="5" fillId="0" borderId="86" xfId="1" applyFont="1" applyFill="1" applyBorder="1" applyAlignment="1"/>
    <xf numFmtId="43" fontId="16" fillId="0" borderId="65" xfId="1" applyFont="1" applyFill="1" applyBorder="1" applyAlignment="1">
      <alignment vertical="center"/>
    </xf>
    <xf numFmtId="43" fontId="16" fillId="0" borderId="66" xfId="1" applyFont="1" applyFill="1" applyBorder="1" applyAlignment="1">
      <alignment vertical="center"/>
    </xf>
    <xf numFmtId="3" fontId="22" fillId="2" borderId="69" xfId="2" applyNumberFormat="1" applyFont="1" applyFill="1" applyBorder="1" applyAlignment="1"/>
    <xf numFmtId="165" fontId="16" fillId="0" borderId="71" xfId="3" applyNumberFormat="1" applyFont="1" applyFill="1" applyBorder="1" applyAlignment="1">
      <alignment vertical="center"/>
    </xf>
    <xf numFmtId="43" fontId="5" fillId="14" borderId="62" xfId="1" applyFont="1" applyFill="1" applyBorder="1" applyAlignment="1">
      <alignment horizontal="right" vertical="center"/>
    </xf>
    <xf numFmtId="0" fontId="20" fillId="0" borderId="95" xfId="2" applyFont="1" applyFill="1" applyBorder="1" applyAlignment="1">
      <alignment horizontal="center" vertical="center" wrapText="1"/>
    </xf>
    <xf numFmtId="3" fontId="15" fillId="4" borderId="65" xfId="2" applyNumberFormat="1" applyFont="1" applyFill="1" applyBorder="1" applyAlignment="1">
      <alignment horizontal="right" vertical="center"/>
    </xf>
    <xf numFmtId="3" fontId="15" fillId="4" borderId="66" xfId="2" applyNumberFormat="1" applyFont="1" applyFill="1" applyBorder="1" applyAlignment="1">
      <alignment horizontal="right" vertical="center"/>
    </xf>
    <xf numFmtId="3" fontId="15" fillId="4" borderId="64" xfId="2" applyNumberFormat="1" applyFont="1" applyFill="1" applyBorder="1" applyAlignment="1">
      <alignment horizontal="right" vertical="center"/>
    </xf>
    <xf numFmtId="165" fontId="15" fillId="4" borderId="65" xfId="2" applyNumberFormat="1" applyFont="1" applyFill="1" applyBorder="1" applyAlignment="1">
      <alignment horizontal="right" vertical="center"/>
    </xf>
    <xf numFmtId="3" fontId="22" fillId="2" borderId="65" xfId="2" applyNumberFormat="1" applyFont="1" applyFill="1" applyBorder="1" applyAlignment="1">
      <alignment vertical="top" wrapText="1"/>
    </xf>
    <xf numFmtId="3" fontId="22" fillId="0" borderId="64" xfId="2" applyNumberFormat="1" applyFont="1" applyFill="1" applyBorder="1" applyAlignment="1">
      <alignment horizontal="right" vertical="center"/>
    </xf>
    <xf numFmtId="3" fontId="22" fillId="0" borderId="65" xfId="2" applyNumberFormat="1" applyFont="1" applyFill="1" applyBorder="1" applyAlignment="1">
      <alignment horizontal="right" vertical="center"/>
    </xf>
    <xf numFmtId="3" fontId="22" fillId="0" borderId="66" xfId="2" applyNumberFormat="1" applyFont="1" applyFill="1" applyBorder="1" applyAlignment="1">
      <alignment horizontal="right" vertical="center"/>
    </xf>
    <xf numFmtId="165" fontId="22" fillId="0" borderId="65" xfId="2" applyNumberFormat="1" applyFont="1" applyFill="1" applyBorder="1" applyAlignment="1">
      <alignment horizontal="right" vertical="center"/>
    </xf>
    <xf numFmtId="3" fontId="25" fillId="0" borderId="66" xfId="2" applyNumberFormat="1" applyFont="1" applyFill="1" applyBorder="1" applyAlignment="1">
      <alignment horizontal="right" vertical="center"/>
    </xf>
    <xf numFmtId="3" fontId="43" fillId="0" borderId="66" xfId="3" applyNumberFormat="1" applyFont="1" applyFill="1" applyBorder="1" applyAlignment="1">
      <alignment vertical="center"/>
    </xf>
    <xf numFmtId="3" fontId="5" fillId="4" borderId="64" xfId="2" applyNumberFormat="1" applyFont="1" applyFill="1" applyBorder="1" applyAlignment="1"/>
    <xf numFmtId="43" fontId="5" fillId="4" borderId="65" xfId="1" applyFont="1" applyFill="1" applyBorder="1" applyAlignment="1"/>
    <xf numFmtId="3" fontId="5" fillId="4" borderId="65" xfId="2" applyNumberFormat="1" applyFont="1" applyFill="1" applyBorder="1" applyAlignment="1"/>
    <xf numFmtId="3" fontId="5" fillId="4" borderId="68" xfId="2" applyNumberFormat="1" applyFont="1" applyFill="1" applyBorder="1" applyAlignment="1"/>
    <xf numFmtId="165" fontId="5" fillId="4" borderId="65" xfId="2" applyNumberFormat="1" applyFont="1" applyFill="1" applyBorder="1" applyAlignment="1"/>
    <xf numFmtId="3" fontId="43" fillId="0" borderId="68" xfId="3" applyNumberFormat="1" applyFont="1" applyFill="1" applyBorder="1" applyAlignment="1">
      <alignment vertical="center"/>
    </xf>
    <xf numFmtId="3" fontId="5" fillId="2" borderId="65" xfId="2" applyNumberFormat="1" applyFont="1" applyFill="1" applyBorder="1" applyAlignment="1"/>
    <xf numFmtId="43" fontId="5" fillId="2" borderId="65" xfId="1" applyFont="1" applyFill="1" applyBorder="1" applyAlignment="1"/>
    <xf numFmtId="3" fontId="25" fillId="2" borderId="65" xfId="2" applyNumberFormat="1" applyFont="1" applyFill="1" applyBorder="1" applyAlignment="1"/>
    <xf numFmtId="3" fontId="25" fillId="2" borderId="68" xfId="2" applyNumberFormat="1" applyFont="1" applyFill="1" applyBorder="1" applyAlignment="1"/>
    <xf numFmtId="3" fontId="22" fillId="2" borderId="68" xfId="2" applyNumberFormat="1" applyFont="1" applyFill="1" applyBorder="1" applyAlignment="1"/>
    <xf numFmtId="3" fontId="22" fillId="2" borderId="82" xfId="2" applyNumberFormat="1" applyFont="1" applyFill="1" applyBorder="1" applyAlignment="1"/>
    <xf numFmtId="165" fontId="22" fillId="2" borderId="80" xfId="2" applyNumberFormat="1" applyFont="1" applyFill="1" applyBorder="1" applyAlignment="1"/>
    <xf numFmtId="3" fontId="22" fillId="2" borderId="80" xfId="2" applyNumberFormat="1" applyFont="1" applyFill="1" applyBorder="1" applyAlignment="1"/>
    <xf numFmtId="3" fontId="16" fillId="0" borderId="90" xfId="3" applyNumberFormat="1" applyFont="1" applyFill="1" applyBorder="1" applyAlignment="1">
      <alignment vertical="center"/>
    </xf>
    <xf numFmtId="3" fontId="5" fillId="14" borderId="63" xfId="2" applyNumberFormat="1" applyFont="1" applyFill="1" applyBorder="1" applyAlignment="1">
      <alignment horizontal="right" vertical="center"/>
    </xf>
    <xf numFmtId="3" fontId="5" fillId="4" borderId="67" xfId="2" applyNumberFormat="1" applyFont="1" applyFill="1" applyBorder="1" applyAlignment="1"/>
    <xf numFmtId="43" fontId="5" fillId="4" borderId="66" xfId="1" applyFont="1" applyFill="1" applyBorder="1" applyAlignment="1"/>
    <xf numFmtId="3" fontId="22" fillId="2" borderId="67" xfId="2" applyNumberFormat="1" applyFont="1" applyFill="1" applyBorder="1" applyAlignment="1"/>
    <xf numFmtId="3" fontId="7" fillId="0" borderId="67" xfId="2" applyNumberFormat="1" applyFont="1" applyFill="1" applyBorder="1" applyAlignment="1">
      <alignment horizontal="right" vertical="center"/>
    </xf>
    <xf numFmtId="3" fontId="43" fillId="0" borderId="67" xfId="3" applyNumberFormat="1" applyFont="1" applyFill="1" applyBorder="1" applyAlignment="1">
      <alignment vertical="center"/>
    </xf>
    <xf numFmtId="3" fontId="43" fillId="0" borderId="69" xfId="3" applyNumberFormat="1" applyFont="1" applyFill="1" applyBorder="1" applyAlignment="1">
      <alignment vertical="center"/>
    </xf>
    <xf numFmtId="3" fontId="7" fillId="0" borderId="69" xfId="2" applyNumberFormat="1" applyFont="1" applyFill="1" applyBorder="1" applyAlignment="1">
      <alignment horizontal="right" vertical="center"/>
    </xf>
    <xf numFmtId="3" fontId="5" fillId="4" borderId="69" xfId="2" applyNumberFormat="1" applyFont="1" applyFill="1" applyBorder="1" applyAlignment="1"/>
    <xf numFmtId="43" fontId="7" fillId="0" borderId="90" xfId="1" applyFont="1" applyFill="1" applyBorder="1" applyAlignment="1">
      <alignment horizontal="right" vertical="center"/>
    </xf>
    <xf numFmtId="43" fontId="15" fillId="4" borderId="65" xfId="1" applyFont="1" applyFill="1" applyBorder="1" applyAlignment="1">
      <alignment horizontal="right" vertical="center"/>
    </xf>
    <xf numFmtId="43" fontId="15" fillId="4" borderId="66" xfId="1" applyFont="1" applyFill="1" applyBorder="1" applyAlignment="1">
      <alignment horizontal="right" vertical="center"/>
    </xf>
    <xf numFmtId="43" fontId="22" fillId="0" borderId="65" xfId="1" applyFont="1" applyFill="1" applyBorder="1" applyAlignment="1">
      <alignment horizontal="right" vertical="center"/>
    </xf>
    <xf numFmtId="43" fontId="22" fillId="0" borderId="66" xfId="1" applyFont="1" applyFill="1" applyBorder="1" applyAlignment="1">
      <alignment horizontal="right" vertical="center"/>
    </xf>
    <xf numFmtId="0" fontId="7" fillId="0" borderId="65" xfId="2" applyFont="1" applyFill="1" applyBorder="1" applyAlignment="1">
      <alignment horizontal="left" vertical="center"/>
    </xf>
    <xf numFmtId="3" fontId="22" fillId="0" borderId="64" xfId="2" applyNumberFormat="1" applyFont="1" applyFill="1" applyBorder="1" applyAlignment="1"/>
    <xf numFmtId="3" fontId="22" fillId="0" borderId="65" xfId="2" applyNumberFormat="1" applyFont="1" applyFill="1" applyBorder="1" applyAlignment="1"/>
    <xf numFmtId="43" fontId="22" fillId="0" borderId="65" xfId="1" applyFont="1" applyFill="1" applyBorder="1" applyAlignment="1"/>
    <xf numFmtId="43" fontId="22" fillId="0" borderId="66" xfId="1" applyFont="1" applyFill="1" applyBorder="1" applyAlignment="1"/>
    <xf numFmtId="165" fontId="22" fillId="0" borderId="65" xfId="2" applyNumberFormat="1" applyFont="1" applyFill="1" applyBorder="1" applyAlignment="1"/>
    <xf numFmtId="43" fontId="6" fillId="0" borderId="65" xfId="1" applyFont="1" applyFill="1" applyBorder="1" applyAlignment="1"/>
    <xf numFmtId="3" fontId="15" fillId="14" borderId="60" xfId="2" applyNumberFormat="1" applyFont="1" applyFill="1" applyBorder="1" applyAlignment="1">
      <alignment horizontal="right" vertical="center"/>
    </xf>
    <xf numFmtId="3" fontId="15" fillId="14" borderId="61" xfId="2" applyNumberFormat="1" applyFont="1" applyFill="1" applyBorder="1" applyAlignment="1">
      <alignment horizontal="right" vertical="center"/>
    </xf>
    <xf numFmtId="3" fontId="15" fillId="14" borderId="62" xfId="2" applyNumberFormat="1" applyFont="1" applyFill="1" applyBorder="1" applyAlignment="1">
      <alignment horizontal="right" vertical="center"/>
    </xf>
    <xf numFmtId="165" fontId="15" fillId="14" borderId="61" xfId="2" applyNumberFormat="1" applyFont="1" applyFill="1" applyBorder="1" applyAlignment="1">
      <alignment horizontal="right" vertical="center"/>
    </xf>
    <xf numFmtId="43" fontId="22" fillId="0" borderId="80" xfId="1" applyFont="1" applyFill="1" applyBorder="1" applyAlignment="1">
      <alignment horizontal="right" vertical="center"/>
    </xf>
    <xf numFmtId="43" fontId="22" fillId="0" borderId="81" xfId="1" applyFont="1" applyFill="1" applyBorder="1" applyAlignment="1">
      <alignment horizontal="right" vertical="center"/>
    </xf>
    <xf numFmtId="3" fontId="22" fillId="2" borderId="64" xfId="2" applyNumberFormat="1" applyFont="1" applyFill="1" applyBorder="1" applyAlignment="1">
      <alignment horizontal="right" vertical="center"/>
    </xf>
    <xf numFmtId="3" fontId="22" fillId="2" borderId="65" xfId="2" applyNumberFormat="1" applyFont="1" applyFill="1" applyBorder="1" applyAlignment="1">
      <alignment horizontal="right" vertical="center"/>
    </xf>
    <xf numFmtId="43" fontId="22" fillId="2" borderId="66" xfId="1" applyFont="1" applyFill="1" applyBorder="1" applyAlignment="1">
      <alignment horizontal="right" vertical="center"/>
    </xf>
    <xf numFmtId="3" fontId="22" fillId="2" borderId="66" xfId="2" applyNumberFormat="1" applyFont="1" applyFill="1" applyBorder="1" applyAlignment="1">
      <alignment horizontal="right" vertical="center"/>
    </xf>
    <xf numFmtId="165" fontId="22" fillId="2" borderId="65" xfId="2" applyNumberFormat="1" applyFont="1" applyFill="1" applyBorder="1" applyAlignment="1">
      <alignment horizontal="right" vertical="center"/>
    </xf>
    <xf numFmtId="43" fontId="25" fillId="0" borderId="68" xfId="1" applyFont="1" applyFill="1" applyBorder="1" applyAlignment="1">
      <alignment horizontal="right" vertical="center"/>
    </xf>
    <xf numFmtId="3" fontId="25" fillId="0" borderId="68" xfId="2" applyNumberFormat="1" applyFont="1" applyFill="1" applyBorder="1" applyAlignment="1">
      <alignment horizontal="right" vertical="center"/>
    </xf>
    <xf numFmtId="3" fontId="5" fillId="4" borderId="66" xfId="2" applyNumberFormat="1" applyFont="1" applyFill="1" applyBorder="1" applyAlignment="1"/>
    <xf numFmtId="3" fontId="22" fillId="2" borderId="66" xfId="2" applyNumberFormat="1" applyFont="1" applyFill="1" applyBorder="1" applyAlignment="1"/>
    <xf numFmtId="0" fontId="16" fillId="2" borderId="0" xfId="0" applyFont="1" applyFill="1" applyAlignment="1"/>
    <xf numFmtId="3" fontId="7" fillId="0" borderId="72" xfId="2" applyNumberFormat="1" applyFont="1" applyFill="1" applyBorder="1" applyAlignment="1">
      <alignment horizontal="right"/>
    </xf>
    <xf numFmtId="0" fontId="5" fillId="4" borderId="65" xfId="2" applyFont="1" applyFill="1" applyBorder="1" applyAlignment="1">
      <alignment horizontal="left" vertical="center"/>
    </xf>
    <xf numFmtId="165" fontId="6" fillId="0" borderId="80" xfId="2" applyNumberFormat="1" applyFont="1" applyFill="1" applyBorder="1" applyAlignment="1">
      <alignment horizontal="right" vertical="center"/>
    </xf>
    <xf numFmtId="43" fontId="6" fillId="0" borderId="80" xfId="1" applyFont="1" applyFill="1" applyBorder="1" applyAlignment="1">
      <alignment horizontal="right" vertical="center"/>
    </xf>
    <xf numFmtId="3" fontId="7" fillId="2" borderId="65" xfId="2" applyNumberFormat="1" applyFont="1" applyFill="1" applyBorder="1" applyAlignment="1"/>
    <xf numFmtId="43" fontId="7" fillId="2" borderId="65" xfId="1" applyFont="1" applyFill="1" applyBorder="1" applyAlignment="1"/>
    <xf numFmtId="43" fontId="25" fillId="2" borderId="66" xfId="1" applyFont="1" applyFill="1" applyBorder="1" applyAlignment="1"/>
    <xf numFmtId="43" fontId="7" fillId="0" borderId="90" xfId="1" applyFont="1" applyFill="1" applyBorder="1" applyAlignment="1">
      <alignment horizontal="right"/>
    </xf>
    <xf numFmtId="0" fontId="25" fillId="0" borderId="65" xfId="2" applyFont="1" applyFill="1" applyBorder="1" applyAlignment="1">
      <alignment vertical="top"/>
    </xf>
    <xf numFmtId="0" fontId="25" fillId="0" borderId="71" xfId="2" applyFont="1" applyFill="1" applyBorder="1" applyAlignment="1">
      <alignment vertical="top"/>
    </xf>
    <xf numFmtId="43" fontId="25" fillId="2" borderId="71" xfId="1" applyFont="1" applyFill="1" applyBorder="1" applyAlignment="1"/>
    <xf numFmtId="3" fontId="25" fillId="2" borderId="71" xfId="2" applyNumberFormat="1" applyFont="1" applyFill="1" applyBorder="1" applyAlignment="1"/>
    <xf numFmtId="3" fontId="25" fillId="2" borderId="90" xfId="2" applyNumberFormat="1" applyFont="1" applyFill="1" applyBorder="1" applyAlignment="1"/>
    <xf numFmtId="165" fontId="25" fillId="0" borderId="71" xfId="2" applyNumberFormat="1" applyFont="1" applyFill="1" applyBorder="1" applyAlignment="1">
      <alignment horizontal="right" vertical="center"/>
    </xf>
    <xf numFmtId="0" fontId="15" fillId="14" borderId="61" xfId="2" applyFont="1" applyFill="1" applyBorder="1" applyAlignment="1">
      <alignment vertical="center" wrapText="1"/>
    </xf>
    <xf numFmtId="3" fontId="6" fillId="0" borderId="80" xfId="2" applyNumberFormat="1" applyFont="1" applyFill="1" applyBorder="1" applyAlignment="1">
      <alignment horizontal="right" vertical="center"/>
    </xf>
    <xf numFmtId="43" fontId="25" fillId="0" borderId="71" xfId="1" applyFont="1" applyFill="1" applyBorder="1" applyAlignment="1">
      <alignment horizontal="right"/>
    </xf>
    <xf numFmtId="3" fontId="7" fillId="0" borderId="90" xfId="2" applyNumberFormat="1" applyFont="1" applyFill="1" applyBorder="1" applyAlignment="1">
      <alignment horizontal="right"/>
    </xf>
    <xf numFmtId="0" fontId="5" fillId="14" borderId="61" xfId="2" applyFont="1" applyFill="1" applyBorder="1" applyAlignment="1">
      <alignment horizontal="left" vertical="center" wrapText="1"/>
    </xf>
    <xf numFmtId="43" fontId="43" fillId="0" borderId="64" xfId="1" applyFont="1" applyFill="1" applyBorder="1" applyAlignment="1">
      <alignment vertical="center"/>
    </xf>
    <xf numFmtId="43" fontId="25" fillId="0" borderId="64" xfId="1" applyFont="1" applyFill="1" applyBorder="1" applyAlignment="1">
      <alignment horizontal="right" vertical="center"/>
    </xf>
    <xf numFmtId="43" fontId="5" fillId="4" borderId="64" xfId="1" applyFont="1" applyFill="1" applyBorder="1" applyAlignment="1"/>
    <xf numFmtId="43" fontId="22" fillId="2" borderId="64" xfId="1" applyFont="1" applyFill="1" applyBorder="1" applyAlignment="1"/>
    <xf numFmtId="43" fontId="16" fillId="0" borderId="70" xfId="1" applyFont="1" applyFill="1" applyBorder="1" applyAlignment="1">
      <alignment vertical="center"/>
    </xf>
    <xf numFmtId="43" fontId="25" fillId="0" borderId="70" xfId="1" applyFont="1" applyFill="1" applyBorder="1" applyAlignment="1">
      <alignment horizontal="right" vertical="center"/>
    </xf>
    <xf numFmtId="43" fontId="25" fillId="0" borderId="71" xfId="1" applyFont="1" applyFill="1" applyBorder="1" applyAlignment="1">
      <alignment horizontal="right" vertical="center"/>
    </xf>
    <xf numFmtId="3" fontId="6" fillId="2" borderId="65" xfId="2" applyNumberFormat="1" applyFont="1" applyFill="1" applyBorder="1" applyAlignment="1">
      <alignment vertical="top" wrapText="1"/>
    </xf>
    <xf numFmtId="3" fontId="7" fillId="2" borderId="71" xfId="2" applyNumberFormat="1" applyFont="1" applyFill="1" applyBorder="1" applyAlignment="1"/>
    <xf numFmtId="43" fontId="7" fillId="2" borderId="71" xfId="1" applyFont="1" applyFill="1" applyBorder="1" applyAlignment="1"/>
    <xf numFmtId="43" fontId="7" fillId="2" borderId="72" xfId="1" applyFont="1" applyFill="1" applyBorder="1" applyAlignment="1"/>
    <xf numFmtId="165" fontId="25" fillId="2" borderId="71" xfId="2" applyNumberFormat="1" applyFont="1" applyFill="1" applyBorder="1" applyAlignment="1"/>
    <xf numFmtId="3" fontId="37" fillId="2" borderId="71" xfId="2" applyNumberFormat="1" applyFont="1" applyFill="1" applyBorder="1" applyAlignment="1"/>
    <xf numFmtId="0" fontId="15" fillId="14" borderId="61" xfId="2" applyFont="1" applyFill="1" applyBorder="1" applyAlignment="1">
      <alignment vertical="top" wrapText="1"/>
    </xf>
    <xf numFmtId="0" fontId="34" fillId="14" borderId="62" xfId="2" applyFont="1" applyFill="1" applyBorder="1" applyAlignment="1">
      <alignment vertical="top" wrapText="1"/>
    </xf>
    <xf numFmtId="43" fontId="25" fillId="2" borderId="72" xfId="1" applyFont="1" applyFill="1" applyBorder="1" applyAlignment="1"/>
    <xf numFmtId="43" fontId="43" fillId="0" borderId="68" xfId="1" applyFont="1" applyFill="1" applyBorder="1" applyAlignment="1">
      <alignment vertical="center"/>
    </xf>
    <xf numFmtId="43" fontId="22" fillId="2" borderId="71" xfId="1" applyFont="1" applyFill="1" applyBorder="1" applyAlignment="1"/>
    <xf numFmtId="43" fontId="5" fillId="4" borderId="68" xfId="1" applyFont="1" applyFill="1" applyBorder="1" applyAlignment="1"/>
    <xf numFmtId="43" fontId="22" fillId="2" borderId="68" xfId="1" applyFont="1" applyFill="1" applyBorder="1" applyAlignment="1"/>
    <xf numFmtId="43" fontId="25" fillId="2" borderId="90" xfId="1" applyFont="1" applyFill="1" applyBorder="1" applyAlignment="1"/>
    <xf numFmtId="43" fontId="15" fillId="4" borderId="68" xfId="1" applyFont="1" applyFill="1" applyBorder="1" applyAlignment="1">
      <alignment horizontal="right" vertical="center"/>
    </xf>
    <xf numFmtId="43" fontId="22" fillId="0" borderId="68" xfId="1" applyFont="1" applyFill="1" applyBorder="1" applyAlignment="1">
      <alignment horizontal="right" vertical="center"/>
    </xf>
    <xf numFmtId="3" fontId="5" fillId="4" borderId="64" xfId="2" applyNumberFormat="1" applyFont="1" applyFill="1" applyBorder="1" applyAlignment="1">
      <alignment horizontal="right" vertical="center"/>
    </xf>
    <xf numFmtId="3" fontId="5" fillId="4" borderId="65" xfId="2" applyNumberFormat="1" applyFont="1" applyFill="1" applyBorder="1" applyAlignment="1">
      <alignment horizontal="right" vertical="center"/>
    </xf>
    <xf numFmtId="43" fontId="5" fillId="4" borderId="65" xfId="1" applyFont="1" applyFill="1" applyBorder="1" applyAlignment="1">
      <alignment horizontal="right" vertical="center"/>
    </xf>
    <xf numFmtId="43" fontId="5" fillId="4" borderId="68" xfId="1" applyFont="1" applyFill="1" applyBorder="1" applyAlignment="1">
      <alignment horizontal="right" vertical="center"/>
    </xf>
    <xf numFmtId="165" fontId="5" fillId="4" borderId="65" xfId="2" applyNumberFormat="1" applyFont="1" applyFill="1" applyBorder="1" applyAlignment="1">
      <alignment horizontal="right" vertical="center"/>
    </xf>
    <xf numFmtId="3" fontId="22" fillId="2" borderId="65" xfId="2" applyNumberFormat="1" applyFont="1" applyFill="1" applyBorder="1" applyAlignment="1">
      <alignment vertical="center" wrapText="1"/>
    </xf>
    <xf numFmtId="3" fontId="15" fillId="4" borderId="64" xfId="2" applyNumberFormat="1" applyFont="1" applyFill="1" applyBorder="1" applyAlignment="1"/>
    <xf numFmtId="43" fontId="15" fillId="4" borderId="65" xfId="1" applyFont="1" applyFill="1" applyBorder="1" applyAlignment="1"/>
    <xf numFmtId="3" fontId="15" fillId="4" borderId="69" xfId="2" applyNumberFormat="1" applyFont="1" applyFill="1" applyBorder="1" applyAlignment="1">
      <alignment horizontal="right" vertical="center"/>
    </xf>
    <xf numFmtId="3" fontId="15" fillId="4" borderId="68" xfId="2" applyNumberFormat="1" applyFont="1" applyFill="1" applyBorder="1" applyAlignment="1">
      <alignment horizontal="right" vertical="center"/>
    </xf>
    <xf numFmtId="3" fontId="22" fillId="0" borderId="69" xfId="2" applyNumberFormat="1" applyFont="1" applyFill="1" applyBorder="1" applyAlignment="1">
      <alignment horizontal="right" vertical="center"/>
    </xf>
    <xf numFmtId="3" fontId="22" fillId="0" borderId="68" xfId="2" applyNumberFormat="1" applyFont="1" applyFill="1" applyBorder="1" applyAlignment="1">
      <alignment horizontal="right" vertical="center"/>
    </xf>
    <xf numFmtId="3" fontId="25" fillId="0" borderId="69" xfId="2" applyNumberFormat="1" applyFont="1" applyFill="1" applyBorder="1" applyAlignment="1">
      <alignment horizontal="right" vertical="center"/>
    </xf>
    <xf numFmtId="3" fontId="5" fillId="4" borderId="74" xfId="2" applyNumberFormat="1" applyFont="1" applyFill="1" applyBorder="1" applyAlignment="1"/>
    <xf numFmtId="43" fontId="5" fillId="4" borderId="67" xfId="1" applyFont="1" applyFill="1" applyBorder="1" applyAlignment="1"/>
    <xf numFmtId="0" fontId="5" fillId="17" borderId="61" xfId="2" applyFont="1" applyFill="1" applyBorder="1" applyAlignment="1">
      <alignment vertical="center"/>
    </xf>
    <xf numFmtId="0" fontId="7" fillId="17" borderId="60" xfId="2" applyFont="1" applyFill="1" applyBorder="1" applyAlignment="1">
      <alignment horizontal="right" vertical="center"/>
    </xf>
    <xf numFmtId="43" fontId="5" fillId="19" borderId="77" xfId="1" applyFont="1" applyFill="1" applyBorder="1" applyAlignment="1">
      <alignment horizontal="right" vertical="center"/>
    </xf>
    <xf numFmtId="165" fontId="5" fillId="19" borderId="76" xfId="2" applyNumberFormat="1" applyFont="1" applyFill="1" applyBorder="1" applyAlignment="1">
      <alignment horizontal="right" vertical="center"/>
    </xf>
    <xf numFmtId="0" fontId="6" fillId="17" borderId="80" xfId="2" applyFont="1" applyFill="1" applyBorder="1" applyAlignment="1">
      <alignment horizontal="left" vertical="center"/>
    </xf>
    <xf numFmtId="43" fontId="6" fillId="17" borderId="81" xfId="1" applyFont="1" applyFill="1" applyBorder="1" applyAlignment="1">
      <alignment horizontal="right" vertical="center"/>
    </xf>
    <xf numFmtId="165" fontId="6" fillId="17" borderId="80" xfId="2" applyNumberFormat="1" applyFont="1" applyFill="1" applyBorder="1" applyAlignment="1">
      <alignment horizontal="right" vertical="center"/>
    </xf>
    <xf numFmtId="0" fontId="42" fillId="0" borderId="0" xfId="0" applyFont="1" applyFill="1"/>
    <xf numFmtId="165" fontId="7" fillId="17" borderId="65" xfId="2" applyNumberFormat="1" applyFont="1" applyFill="1" applyBorder="1" applyAlignment="1">
      <alignment horizontal="right" vertical="center"/>
    </xf>
    <xf numFmtId="3" fontId="22" fillId="17" borderId="64" xfId="2" applyNumberFormat="1" applyFont="1" applyFill="1" applyBorder="1" applyAlignment="1">
      <alignment horizontal="right" vertical="center"/>
    </xf>
    <xf numFmtId="3" fontId="22" fillId="17" borderId="65" xfId="2" applyNumberFormat="1" applyFont="1" applyFill="1" applyBorder="1" applyAlignment="1">
      <alignment horizontal="right" vertical="center"/>
    </xf>
    <xf numFmtId="43" fontId="22" fillId="17" borderId="65" xfId="1" applyFont="1" applyFill="1" applyBorder="1" applyAlignment="1">
      <alignment horizontal="right" vertical="center"/>
    </xf>
    <xf numFmtId="43" fontId="22" fillId="17" borderId="66" xfId="1" applyFont="1" applyFill="1" applyBorder="1" applyAlignment="1">
      <alignment horizontal="right" vertical="center"/>
    </xf>
    <xf numFmtId="3" fontId="22" fillId="17" borderId="66" xfId="2" applyNumberFormat="1" applyFont="1" applyFill="1" applyBorder="1" applyAlignment="1">
      <alignment horizontal="right" vertical="center"/>
    </xf>
    <xf numFmtId="165" fontId="6" fillId="17" borderId="65" xfId="2" applyNumberFormat="1" applyFont="1" applyFill="1" applyBorder="1" applyAlignment="1">
      <alignment horizontal="right" vertical="center"/>
    </xf>
    <xf numFmtId="43" fontId="6" fillId="17" borderId="65" xfId="1" applyFont="1" applyFill="1" applyBorder="1" applyAlignment="1">
      <alignment horizontal="right" vertical="center"/>
    </xf>
    <xf numFmtId="3" fontId="15" fillId="19" borderId="78" xfId="2" applyNumberFormat="1" applyFont="1" applyFill="1" applyBorder="1" applyAlignment="1">
      <alignment horizontal="right" vertical="center"/>
    </xf>
    <xf numFmtId="3" fontId="15" fillId="19" borderId="76" xfId="2" applyNumberFormat="1" applyFont="1" applyFill="1" applyBorder="1" applyAlignment="1">
      <alignment horizontal="right" vertical="center"/>
    </xf>
    <xf numFmtId="43" fontId="15" fillId="19" borderId="77" xfId="1" applyFont="1" applyFill="1" applyBorder="1" applyAlignment="1">
      <alignment horizontal="right" vertical="center"/>
    </xf>
    <xf numFmtId="3" fontId="15" fillId="19" borderId="77" xfId="2" applyNumberFormat="1" applyFont="1" applyFill="1" applyBorder="1" applyAlignment="1">
      <alignment horizontal="right" vertical="center"/>
    </xf>
    <xf numFmtId="0" fontId="22" fillId="17" borderId="80" xfId="2" applyFont="1" applyFill="1" applyBorder="1" applyAlignment="1">
      <alignment vertical="top"/>
    </xf>
    <xf numFmtId="3" fontId="22" fillId="17" borderId="82" xfId="2" applyNumberFormat="1" applyFont="1" applyFill="1" applyBorder="1" applyAlignment="1">
      <alignment horizontal="right" vertical="center"/>
    </xf>
    <xf numFmtId="3" fontId="22" fillId="17" borderId="80" xfId="2" applyNumberFormat="1" applyFont="1" applyFill="1" applyBorder="1" applyAlignment="1">
      <alignment horizontal="right" vertical="center"/>
    </xf>
    <xf numFmtId="43" fontId="22" fillId="17" borderId="81" xfId="1" applyFont="1" applyFill="1" applyBorder="1" applyAlignment="1">
      <alignment horizontal="right" vertical="center"/>
    </xf>
    <xf numFmtId="3" fontId="22" fillId="17" borderId="81" xfId="2" applyNumberFormat="1" applyFont="1" applyFill="1" applyBorder="1" applyAlignment="1">
      <alignment horizontal="right" vertical="center"/>
    </xf>
    <xf numFmtId="0" fontId="7" fillId="17" borderId="71" xfId="2" applyFont="1" applyFill="1" applyBorder="1" applyAlignment="1">
      <alignment vertical="top"/>
    </xf>
    <xf numFmtId="3" fontId="7" fillId="17" borderId="70" xfId="2" applyNumberFormat="1" applyFont="1" applyFill="1" applyBorder="1" applyAlignment="1">
      <alignment horizontal="right" vertical="center"/>
    </xf>
    <xf numFmtId="3" fontId="7" fillId="17" borderId="71" xfId="2" applyNumberFormat="1" applyFont="1" applyFill="1" applyBorder="1" applyAlignment="1">
      <alignment horizontal="right" vertical="center"/>
    </xf>
    <xf numFmtId="43" fontId="7" fillId="17" borderId="72" xfId="1" applyFont="1" applyFill="1" applyBorder="1" applyAlignment="1">
      <alignment horizontal="right" vertical="center"/>
    </xf>
    <xf numFmtId="3" fontId="7" fillId="17" borderId="72" xfId="2" applyNumberFormat="1" applyFont="1" applyFill="1" applyBorder="1" applyAlignment="1">
      <alignment horizontal="right" vertical="center"/>
    </xf>
    <xf numFmtId="165" fontId="7" fillId="17" borderId="71" xfId="2" applyNumberFormat="1" applyFont="1" applyFill="1" applyBorder="1" applyAlignment="1">
      <alignment horizontal="right" vertical="center"/>
    </xf>
    <xf numFmtId="0" fontId="15" fillId="9" borderId="80" xfId="2" applyFont="1" applyFill="1" applyBorder="1" applyAlignment="1">
      <alignment horizontal="left" vertical="center" wrapText="1"/>
    </xf>
    <xf numFmtId="0" fontId="20" fillId="9" borderId="81" xfId="2" applyFont="1" applyFill="1" applyBorder="1" applyAlignment="1">
      <alignment horizontal="left" vertical="center" wrapText="1"/>
    </xf>
    <xf numFmtId="3" fontId="43" fillId="9" borderId="82" xfId="3" applyNumberFormat="1" applyFont="1" applyFill="1" applyBorder="1" applyAlignment="1">
      <alignment horizontal="right" vertical="center"/>
    </xf>
    <xf numFmtId="3" fontId="5" fillId="9" borderId="80" xfId="2" applyNumberFormat="1" applyFont="1" applyFill="1" applyBorder="1" applyAlignment="1">
      <alignment horizontal="right" vertical="center"/>
    </xf>
    <xf numFmtId="3" fontId="5" fillId="9" borderId="81" xfId="2" applyNumberFormat="1" applyFont="1" applyFill="1" applyBorder="1" applyAlignment="1">
      <alignment horizontal="right" vertical="center"/>
    </xf>
    <xf numFmtId="3" fontId="25" fillId="9" borderId="82" xfId="2" applyNumberFormat="1" applyFont="1" applyFill="1" applyBorder="1" applyAlignment="1">
      <alignment horizontal="right" vertical="center"/>
    </xf>
    <xf numFmtId="3" fontId="5" fillId="9" borderId="82" xfId="2" applyNumberFormat="1" applyFont="1" applyFill="1" applyBorder="1" applyAlignment="1">
      <alignment horizontal="right" vertical="center"/>
    </xf>
    <xf numFmtId="165" fontId="5" fillId="9" borderId="80" xfId="2" applyNumberFormat="1" applyFont="1" applyFill="1" applyBorder="1" applyAlignment="1">
      <alignment horizontal="right" vertical="center"/>
    </xf>
    <xf numFmtId="3" fontId="18" fillId="4" borderId="64" xfId="3" applyNumberFormat="1" applyFont="1" applyFill="1" applyBorder="1" applyAlignment="1">
      <alignment horizontal="right" vertical="center"/>
    </xf>
    <xf numFmtId="3" fontId="18" fillId="4" borderId="65" xfId="3" applyNumberFormat="1" applyFont="1" applyFill="1" applyBorder="1" applyAlignment="1">
      <alignment horizontal="right" vertical="center"/>
    </xf>
    <xf numFmtId="3" fontId="18" fillId="4" borderId="66" xfId="3" applyNumberFormat="1" applyFont="1" applyFill="1" applyBorder="1" applyAlignment="1">
      <alignment horizontal="right" vertical="center"/>
    </xf>
    <xf numFmtId="165" fontId="18" fillId="4" borderId="65" xfId="3" applyNumberFormat="1" applyFont="1" applyFill="1" applyBorder="1" applyAlignment="1">
      <alignment horizontal="right" vertical="center"/>
    </xf>
    <xf numFmtId="3" fontId="43" fillId="2" borderId="64" xfId="3" applyNumberFormat="1" applyFont="1" applyFill="1" applyBorder="1" applyAlignment="1">
      <alignment horizontal="right" vertical="center"/>
    </xf>
    <xf numFmtId="3" fontId="43" fillId="2" borderId="65" xfId="3" applyNumberFormat="1" applyFont="1" applyFill="1" applyBorder="1" applyAlignment="1">
      <alignment horizontal="right" vertical="center"/>
    </xf>
    <xf numFmtId="3" fontId="43" fillId="2" borderId="66" xfId="3" applyNumberFormat="1" applyFont="1" applyFill="1" applyBorder="1" applyAlignment="1">
      <alignment horizontal="right" vertical="center"/>
    </xf>
    <xf numFmtId="165" fontId="43" fillId="2" borderId="65" xfId="3" applyNumberFormat="1" applyFont="1" applyFill="1" applyBorder="1" applyAlignment="1">
      <alignment horizontal="right" vertical="center"/>
    </xf>
    <xf numFmtId="0" fontId="7" fillId="0" borderId="102" xfId="2" applyFont="1" applyFill="1" applyBorder="1" applyAlignment="1">
      <alignment vertical="top"/>
    </xf>
    <xf numFmtId="3" fontId="16" fillId="0" borderId="101" xfId="3" applyNumberFormat="1" applyFont="1" applyFill="1" applyBorder="1" applyAlignment="1">
      <alignment vertical="center"/>
    </xf>
    <xf numFmtId="3" fontId="7" fillId="0" borderId="102" xfId="2" applyNumberFormat="1" applyFont="1" applyFill="1" applyBorder="1" applyAlignment="1">
      <alignment horizontal="right" vertical="center"/>
    </xf>
    <xf numFmtId="3" fontId="25" fillId="0" borderId="102" xfId="2" applyNumberFormat="1" applyFont="1" applyFill="1" applyBorder="1" applyAlignment="1">
      <alignment horizontal="right"/>
    </xf>
    <xf numFmtId="3" fontId="7" fillId="0" borderId="102" xfId="2" applyNumberFormat="1" applyFont="1" applyFill="1" applyBorder="1" applyAlignment="1">
      <alignment horizontal="right"/>
    </xf>
    <xf numFmtId="3" fontId="7" fillId="0" borderId="103" xfId="2" applyNumberFormat="1" applyFont="1" applyFill="1" applyBorder="1" applyAlignment="1">
      <alignment horizontal="right"/>
    </xf>
    <xf numFmtId="3" fontId="7" fillId="0" borderId="101" xfId="2" applyNumberFormat="1" applyFont="1" applyFill="1" applyBorder="1" applyAlignment="1">
      <alignment horizontal="right"/>
    </xf>
    <xf numFmtId="165" fontId="7" fillId="0" borderId="102" xfId="2" applyNumberFormat="1" applyFont="1" applyFill="1" applyBorder="1" applyAlignment="1">
      <alignment horizontal="right"/>
    </xf>
    <xf numFmtId="43" fontId="5" fillId="4" borderId="66" xfId="1" applyFont="1" applyFill="1" applyBorder="1" applyAlignment="1">
      <alignment horizontal="right" vertical="center"/>
    </xf>
    <xf numFmtId="43" fontId="25" fillId="0" borderId="90" xfId="1" applyFont="1" applyFill="1" applyBorder="1" applyAlignment="1">
      <alignment horizontal="right" vertical="center"/>
    </xf>
    <xf numFmtId="0" fontId="15" fillId="8" borderId="61" xfId="2" applyFont="1" applyFill="1" applyBorder="1" applyAlignment="1">
      <alignment horizontal="left" vertical="center" wrapText="1"/>
    </xf>
    <xf numFmtId="0" fontId="20" fillId="8" borderId="62" xfId="2" applyFont="1" applyFill="1" applyBorder="1" applyAlignment="1">
      <alignment horizontal="left" vertical="center" wrapText="1"/>
    </xf>
    <xf numFmtId="3" fontId="43" fillId="8" borderId="60" xfId="3" applyNumberFormat="1" applyFont="1" applyFill="1" applyBorder="1" applyAlignment="1">
      <alignment horizontal="right" vertical="center"/>
    </xf>
    <xf numFmtId="3" fontId="5" fillId="8" borderId="61" xfId="2" applyNumberFormat="1" applyFont="1" applyFill="1" applyBorder="1" applyAlignment="1">
      <alignment horizontal="right" vertical="center"/>
    </xf>
    <xf numFmtId="3" fontId="5" fillId="8" borderId="62" xfId="2" applyNumberFormat="1" applyFont="1" applyFill="1" applyBorder="1" applyAlignment="1">
      <alignment horizontal="right" vertical="center"/>
    </xf>
    <xf numFmtId="3" fontId="5" fillId="8" borderId="60" xfId="2" applyNumberFormat="1" applyFont="1" applyFill="1" applyBorder="1" applyAlignment="1">
      <alignment horizontal="right" vertical="center"/>
    </xf>
    <xf numFmtId="165" fontId="5" fillId="8" borderId="61" xfId="2" applyNumberFormat="1" applyFont="1" applyFill="1" applyBorder="1" applyAlignment="1">
      <alignment horizontal="right" vertical="center"/>
    </xf>
    <xf numFmtId="43" fontId="18" fillId="4" borderId="64" xfId="1" applyFont="1" applyFill="1" applyBorder="1" applyAlignment="1">
      <alignment horizontal="right" vertical="center"/>
    </xf>
    <xf numFmtId="43" fontId="18" fillId="4" borderId="65" xfId="1" applyFont="1" applyFill="1" applyBorder="1" applyAlignment="1">
      <alignment horizontal="right" vertical="center"/>
    </xf>
    <xf numFmtId="43" fontId="18" fillId="4" borderId="66" xfId="1" applyFont="1" applyFill="1" applyBorder="1" applyAlignment="1">
      <alignment horizontal="right" vertical="center"/>
    </xf>
    <xf numFmtId="43" fontId="43" fillId="0" borderId="64" xfId="1" applyFont="1" applyFill="1" applyBorder="1" applyAlignment="1">
      <alignment horizontal="right" vertical="center"/>
    </xf>
    <xf numFmtId="43" fontId="43" fillId="0" borderId="65" xfId="1" applyFont="1" applyFill="1" applyBorder="1" applyAlignment="1">
      <alignment horizontal="right" vertical="center"/>
    </xf>
    <xf numFmtId="43" fontId="43" fillId="0" borderId="66" xfId="1" applyFont="1" applyFill="1" applyBorder="1" applyAlignment="1">
      <alignment horizontal="right" vertical="center"/>
    </xf>
    <xf numFmtId="43" fontId="25" fillId="2" borderId="64" xfId="1" applyFont="1" applyFill="1" applyBorder="1" applyAlignment="1">
      <alignment horizontal="right" vertical="center"/>
    </xf>
    <xf numFmtId="43" fontId="7" fillId="0" borderId="70" xfId="1" applyFont="1" applyFill="1" applyBorder="1" applyAlignment="1">
      <alignment horizontal="right"/>
    </xf>
    <xf numFmtId="0" fontId="5" fillId="18" borderId="41" xfId="2" applyFont="1" applyFill="1" applyBorder="1" applyAlignment="1">
      <alignment horizontal="center" vertical="top"/>
    </xf>
    <xf numFmtId="3" fontId="7" fillId="17" borderId="61" xfId="2" applyNumberFormat="1" applyFont="1" applyFill="1" applyBorder="1" applyAlignment="1">
      <alignment horizontal="center" vertical="center"/>
    </xf>
    <xf numFmtId="0" fontId="5" fillId="18" borderId="43" xfId="2" applyFont="1" applyFill="1" applyBorder="1" applyAlignment="1">
      <alignment horizontal="center" vertical="top"/>
    </xf>
    <xf numFmtId="0" fontId="15" fillId="19" borderId="78" xfId="2" applyFont="1" applyFill="1" applyBorder="1" applyAlignment="1">
      <alignment horizontal="left" vertical="center"/>
    </xf>
    <xf numFmtId="164" fontId="7" fillId="17" borderId="80" xfId="2" applyNumberFormat="1" applyFont="1" applyFill="1" applyBorder="1" applyAlignment="1">
      <alignment horizontal="right" vertical="center"/>
    </xf>
    <xf numFmtId="3" fontId="7" fillId="17" borderId="80" xfId="2" applyNumberFormat="1" applyFont="1" applyFill="1" applyBorder="1" applyAlignment="1">
      <alignment horizontal="right" vertical="center"/>
    </xf>
    <xf numFmtId="164" fontId="7" fillId="17" borderId="65" xfId="2" applyNumberFormat="1" applyFont="1" applyFill="1" applyBorder="1" applyAlignment="1">
      <alignment horizontal="right" vertical="center"/>
    </xf>
    <xf numFmtId="165" fontId="7" fillId="17" borderId="80" xfId="2" applyNumberFormat="1" applyFont="1" applyFill="1" applyBorder="1" applyAlignment="1">
      <alignment horizontal="right" vertical="center"/>
    </xf>
    <xf numFmtId="0" fontId="7" fillId="18" borderId="43" xfId="2" applyFont="1" applyFill="1" applyBorder="1" applyAlignment="1">
      <alignment horizontal="center" vertical="top"/>
    </xf>
    <xf numFmtId="0" fontId="5" fillId="17" borderId="65" xfId="2" applyFont="1" applyFill="1" applyBorder="1" applyAlignment="1">
      <alignment vertical="top"/>
    </xf>
    <xf numFmtId="3" fontId="18" fillId="17" borderId="64" xfId="3" applyNumberFormat="1" applyFont="1" applyFill="1" applyBorder="1" applyAlignment="1">
      <alignment vertical="center"/>
    </xf>
    <xf numFmtId="3" fontId="18" fillId="17" borderId="65" xfId="3" applyNumberFormat="1" applyFont="1" applyFill="1" applyBorder="1" applyAlignment="1">
      <alignment vertical="center"/>
    </xf>
    <xf numFmtId="3" fontId="18" fillId="17" borderId="66" xfId="3" applyNumberFormat="1" applyFont="1" applyFill="1" applyBorder="1" applyAlignment="1">
      <alignment vertical="center"/>
    </xf>
    <xf numFmtId="0" fontId="18" fillId="0" borderId="0" xfId="0" applyFont="1"/>
    <xf numFmtId="0" fontId="7" fillId="18" borderId="45" xfId="2" applyFont="1" applyFill="1" applyBorder="1" applyAlignment="1">
      <alignment horizontal="center" vertical="top"/>
    </xf>
    <xf numFmtId="0" fontId="37" fillId="17" borderId="65" xfId="2" applyFont="1" applyFill="1" applyBorder="1" applyAlignment="1">
      <alignment vertical="top"/>
    </xf>
    <xf numFmtId="3" fontId="42" fillId="17" borderId="70" xfId="3" applyNumberFormat="1" applyFont="1" applyFill="1" applyBorder="1" applyAlignment="1">
      <alignment vertical="center"/>
    </xf>
    <xf numFmtId="3" fontId="42" fillId="17" borderId="71" xfId="3" applyNumberFormat="1" applyFont="1" applyFill="1" applyBorder="1" applyAlignment="1">
      <alignment vertical="center"/>
    </xf>
    <xf numFmtId="3" fontId="42" fillId="17" borderId="72" xfId="3" applyNumberFormat="1" applyFont="1" applyFill="1" applyBorder="1" applyAlignment="1">
      <alignment vertical="center"/>
    </xf>
    <xf numFmtId="0" fontId="5" fillId="14" borderId="19" xfId="0" applyFont="1" applyFill="1" applyBorder="1" applyAlignment="1">
      <alignment horizontal="left" vertical="center" wrapText="1"/>
    </xf>
    <xf numFmtId="3" fontId="16" fillId="14" borderId="19" xfId="3" applyNumberFormat="1" applyFont="1" applyFill="1" applyBorder="1" applyAlignment="1">
      <alignment vertical="center"/>
    </xf>
    <xf numFmtId="3" fontId="7" fillId="14" borderId="22" xfId="2" applyNumberFormat="1" applyFont="1" applyFill="1" applyBorder="1" applyAlignment="1">
      <alignment horizontal="right" vertical="center"/>
    </xf>
    <xf numFmtId="3" fontId="25" fillId="14" borderId="22" xfId="2" applyNumberFormat="1" applyFont="1" applyFill="1" applyBorder="1" applyAlignment="1">
      <alignment horizontal="right"/>
    </xf>
    <xf numFmtId="3" fontId="7" fillId="14" borderId="22" xfId="2" applyNumberFormat="1" applyFont="1" applyFill="1" applyBorder="1" applyAlignment="1">
      <alignment horizontal="right"/>
    </xf>
    <xf numFmtId="3" fontId="7" fillId="14" borderId="84" xfId="2" applyNumberFormat="1" applyFont="1" applyFill="1" applyBorder="1" applyAlignment="1">
      <alignment horizontal="right"/>
    </xf>
    <xf numFmtId="43" fontId="7" fillId="14" borderId="19" xfId="1" applyFont="1" applyFill="1" applyBorder="1" applyAlignment="1">
      <alignment horizontal="right"/>
    </xf>
    <xf numFmtId="43" fontId="7" fillId="14" borderId="22" xfId="1" applyFont="1" applyFill="1" applyBorder="1" applyAlignment="1">
      <alignment horizontal="right"/>
    </xf>
    <xf numFmtId="3" fontId="7" fillId="14" borderId="22" xfId="1" applyNumberFormat="1" applyFont="1" applyFill="1" applyBorder="1" applyAlignment="1">
      <alignment horizontal="right" vertical="center"/>
    </xf>
    <xf numFmtId="43" fontId="7" fillId="14" borderId="84" xfId="1" applyFont="1" applyFill="1" applyBorder="1" applyAlignment="1">
      <alignment horizontal="right"/>
    </xf>
    <xf numFmtId="3" fontId="7" fillId="14" borderId="19" xfId="1" applyNumberFormat="1" applyFont="1" applyFill="1" applyBorder="1" applyAlignment="1">
      <alignment horizontal="right" vertical="center"/>
    </xf>
    <xf numFmtId="0" fontId="15" fillId="4" borderId="101" xfId="2" applyFont="1" applyFill="1" applyBorder="1" applyAlignment="1">
      <alignment horizontal="left" vertical="center"/>
    </xf>
    <xf numFmtId="3" fontId="34" fillId="4" borderId="66" xfId="0" applyNumberFormat="1" applyFont="1" applyFill="1" applyBorder="1" applyAlignment="1">
      <alignment horizontal="right" vertical="center"/>
    </xf>
    <xf numFmtId="3" fontId="5" fillId="4" borderId="64" xfId="0" applyNumberFormat="1" applyFont="1" applyFill="1" applyBorder="1" applyAlignment="1">
      <alignment horizontal="right" vertical="center"/>
    </xf>
    <xf numFmtId="3" fontId="5" fillId="4" borderId="65" xfId="0" applyNumberFormat="1" applyFont="1" applyFill="1" applyBorder="1" applyAlignment="1">
      <alignment horizontal="right" vertical="center"/>
    </xf>
    <xf numFmtId="3" fontId="5" fillId="4" borderId="68" xfId="0" applyNumberFormat="1" applyFont="1" applyFill="1" applyBorder="1" applyAlignment="1">
      <alignment horizontal="right" vertical="center"/>
    </xf>
    <xf numFmtId="3" fontId="5" fillId="4" borderId="101" xfId="0" applyNumberFormat="1" applyFont="1" applyFill="1" applyBorder="1" applyAlignment="1">
      <alignment horizontal="right" vertical="center"/>
    </xf>
    <xf numFmtId="165" fontId="5" fillId="4" borderId="102" xfId="0" applyNumberFormat="1" applyFont="1" applyFill="1" applyBorder="1" applyAlignment="1">
      <alignment horizontal="right" vertical="center"/>
    </xf>
    <xf numFmtId="167" fontId="5" fillId="4" borderId="102" xfId="1" applyNumberFormat="1" applyFont="1" applyFill="1" applyBorder="1" applyAlignment="1">
      <alignment horizontal="right" vertical="center"/>
    </xf>
    <xf numFmtId="0" fontId="18" fillId="0" borderId="0" xfId="0" applyFont="1" applyAlignment="1"/>
    <xf numFmtId="3" fontId="22" fillId="2" borderId="64" xfId="2" applyNumberFormat="1" applyFont="1" applyFill="1" applyBorder="1" applyAlignment="1">
      <alignment vertical="top" wrapText="1"/>
    </xf>
    <xf numFmtId="3" fontId="18" fillId="0" borderId="64" xfId="3" applyNumberFormat="1" applyFont="1" applyFill="1" applyBorder="1" applyAlignment="1">
      <alignment vertical="center"/>
    </xf>
    <xf numFmtId="3" fontId="18" fillId="0" borderId="65" xfId="3" applyNumberFormat="1" applyFont="1" applyFill="1" applyBorder="1" applyAlignment="1">
      <alignment vertical="center"/>
    </xf>
    <xf numFmtId="3" fontId="18" fillId="0" borderId="65" xfId="3" applyNumberFormat="1" applyFont="1" applyFill="1" applyBorder="1" applyAlignment="1">
      <alignment horizontal="right" vertical="center"/>
    </xf>
    <xf numFmtId="3" fontId="18" fillId="0" borderId="68" xfId="3" applyNumberFormat="1" applyFont="1" applyFill="1" applyBorder="1" applyAlignment="1">
      <alignment horizontal="right" vertical="center"/>
    </xf>
    <xf numFmtId="165" fontId="5" fillId="2" borderId="102" xfId="0" applyNumberFormat="1" applyFont="1" applyFill="1" applyBorder="1" applyAlignment="1">
      <alignment horizontal="right" vertical="center"/>
    </xf>
    <xf numFmtId="0" fontId="7" fillId="0" borderId="64" xfId="2" applyFont="1" applyFill="1" applyBorder="1" applyAlignment="1">
      <alignment vertical="top"/>
    </xf>
    <xf numFmtId="3" fontId="25" fillId="0" borderId="65" xfId="0" applyNumberFormat="1" applyFont="1" applyFill="1" applyBorder="1" applyAlignment="1">
      <alignment horizontal="right" vertical="center"/>
    </xf>
    <xf numFmtId="3" fontId="7" fillId="0" borderId="68" xfId="0" applyNumberFormat="1" applyFont="1" applyFill="1" applyBorder="1" applyAlignment="1">
      <alignment horizontal="right" vertical="center"/>
    </xf>
    <xf numFmtId="3" fontId="7" fillId="0" borderId="65" xfId="0" applyNumberFormat="1" applyFont="1" applyFill="1" applyBorder="1" applyAlignment="1">
      <alignment horizontal="right" vertical="center"/>
    </xf>
    <xf numFmtId="43" fontId="25" fillId="2" borderId="102" xfId="1" applyFont="1" applyFill="1" applyBorder="1" applyAlignment="1">
      <alignment horizontal="right" vertical="center"/>
    </xf>
    <xf numFmtId="0" fontId="7" fillId="0" borderId="64" xfId="0" applyFont="1" applyFill="1" applyBorder="1" applyAlignment="1">
      <alignment horizontal="left" vertical="center"/>
    </xf>
    <xf numFmtId="0" fontId="7" fillId="2" borderId="64" xfId="2" applyFont="1" applyFill="1" applyBorder="1" applyAlignment="1">
      <alignment vertical="top"/>
    </xf>
    <xf numFmtId="3" fontId="5" fillId="2" borderId="65" xfId="0" applyNumberFormat="1" applyFont="1" applyFill="1" applyBorder="1" applyAlignment="1">
      <alignment horizontal="right" vertical="center"/>
    </xf>
    <xf numFmtId="3" fontId="25" fillId="2" borderId="65" xfId="0" applyNumberFormat="1" applyFont="1" applyFill="1" applyBorder="1" applyAlignment="1">
      <alignment horizontal="right" vertical="center"/>
    </xf>
    <xf numFmtId="3" fontId="25" fillId="2" borderId="68" xfId="0" applyNumberFormat="1" applyFont="1" applyFill="1" applyBorder="1" applyAlignment="1">
      <alignment horizontal="right" vertical="center"/>
    </xf>
    <xf numFmtId="3" fontId="7" fillId="0" borderId="64" xfId="1" applyNumberFormat="1" applyFont="1" applyFill="1" applyBorder="1" applyAlignment="1">
      <alignment horizontal="right" vertical="center"/>
    </xf>
    <xf numFmtId="165" fontId="25" fillId="2" borderId="102" xfId="0" applyNumberFormat="1" applyFont="1" applyFill="1" applyBorder="1" applyAlignment="1">
      <alignment horizontal="right" vertical="center"/>
    </xf>
    <xf numFmtId="167" fontId="5" fillId="2" borderId="65" xfId="1" applyNumberFormat="1" applyFont="1" applyFill="1" applyBorder="1" applyAlignment="1">
      <alignment horizontal="right" vertical="center"/>
    </xf>
    <xf numFmtId="0" fontId="22" fillId="2" borderId="64" xfId="2" applyFont="1" applyFill="1" applyBorder="1" applyAlignment="1">
      <alignment vertical="top"/>
    </xf>
    <xf numFmtId="3" fontId="18" fillId="0" borderId="68" xfId="3" applyNumberFormat="1" applyFont="1" applyFill="1" applyBorder="1" applyAlignment="1">
      <alignment vertical="center"/>
    </xf>
    <xf numFmtId="167" fontId="5" fillId="0" borderId="65" xfId="1" applyNumberFormat="1" applyFont="1" applyFill="1" applyBorder="1" applyAlignment="1">
      <alignment horizontal="right"/>
    </xf>
    <xf numFmtId="3" fontId="7" fillId="0" borderId="65" xfId="1" applyNumberFormat="1" applyFont="1" applyFill="1" applyBorder="1" applyAlignment="1">
      <alignment horizontal="right" vertical="center"/>
    </xf>
    <xf numFmtId="3" fontId="7" fillId="0" borderId="68" xfId="1" applyNumberFormat="1" applyFont="1" applyFill="1" applyBorder="1" applyAlignment="1">
      <alignment horizontal="right" vertical="center"/>
    </xf>
    <xf numFmtId="167" fontId="7" fillId="0" borderId="65" xfId="1" applyNumberFormat="1" applyFont="1" applyFill="1" applyBorder="1" applyAlignment="1">
      <alignment horizontal="right"/>
    </xf>
    <xf numFmtId="3" fontId="5" fillId="4" borderId="66" xfId="0" applyNumberFormat="1" applyFont="1" applyFill="1" applyBorder="1" applyAlignment="1">
      <alignment horizontal="right" vertical="center"/>
    </xf>
    <xf numFmtId="3" fontId="5" fillId="4" borderId="102" xfId="0" applyNumberFormat="1" applyFont="1" applyFill="1" applyBorder="1" applyAlignment="1">
      <alignment horizontal="right" vertical="center"/>
    </xf>
    <xf numFmtId="3" fontId="18" fillId="0" borderId="66" xfId="3" applyNumberFormat="1" applyFont="1" applyFill="1" applyBorder="1" applyAlignment="1">
      <alignment vertical="center"/>
    </xf>
    <xf numFmtId="3" fontId="5" fillId="0" borderId="64" xfId="1" applyNumberFormat="1" applyFont="1" applyFill="1" applyBorder="1" applyAlignment="1">
      <alignment horizontal="right" vertical="center"/>
    </xf>
    <xf numFmtId="3" fontId="5" fillId="0" borderId="65" xfId="1" applyNumberFormat="1" applyFont="1" applyFill="1" applyBorder="1" applyAlignment="1">
      <alignment horizontal="right" vertical="center"/>
    </xf>
    <xf numFmtId="3" fontId="7" fillId="0" borderId="66" xfId="1" applyNumberFormat="1" applyFont="1" applyFill="1" applyBorder="1" applyAlignment="1">
      <alignment horizontal="right" vertical="center"/>
    </xf>
    <xf numFmtId="43" fontId="5" fillId="0" borderId="65" xfId="1" applyFont="1" applyFill="1" applyBorder="1" applyAlignment="1">
      <alignment horizontal="right"/>
    </xf>
    <xf numFmtId="0" fontId="7" fillId="0" borderId="70" xfId="2" applyFont="1" applyFill="1" applyBorder="1" applyAlignment="1">
      <alignment vertical="top"/>
    </xf>
    <xf numFmtId="3" fontId="7" fillId="0" borderId="71" xfId="1" applyNumberFormat="1" applyFont="1" applyFill="1" applyBorder="1" applyAlignment="1">
      <alignment horizontal="right" vertical="center"/>
    </xf>
    <xf numFmtId="3" fontId="7" fillId="0" borderId="70" xfId="1" applyNumberFormat="1" applyFont="1" applyFill="1" applyBorder="1" applyAlignment="1">
      <alignment horizontal="right" vertical="center"/>
    </xf>
    <xf numFmtId="165" fontId="5" fillId="2" borderId="71" xfId="0" applyNumberFormat="1" applyFont="1" applyFill="1" applyBorder="1" applyAlignment="1">
      <alignment horizontal="right" vertical="center"/>
    </xf>
    <xf numFmtId="167" fontId="7" fillId="0" borderId="71" xfId="1" applyNumberFormat="1" applyFont="1" applyFill="1" applyBorder="1" applyAlignment="1">
      <alignment horizontal="right"/>
    </xf>
    <xf numFmtId="0" fontId="5" fillId="17" borderId="22" xfId="2" applyFont="1" applyFill="1" applyBorder="1" applyAlignment="1">
      <alignment vertical="center" wrapText="1"/>
    </xf>
    <xf numFmtId="0" fontId="34" fillId="17" borderId="84" xfId="2" applyFont="1" applyFill="1" applyBorder="1" applyAlignment="1">
      <alignment vertical="top" wrapText="1"/>
    </xf>
    <xf numFmtId="3" fontId="7" fillId="17" borderId="19" xfId="2" applyNumberFormat="1" applyFont="1" applyFill="1" applyBorder="1" applyAlignment="1">
      <alignment horizontal="right" vertical="center"/>
    </xf>
    <xf numFmtId="3" fontId="5" fillId="17" borderId="22" xfId="2" applyNumberFormat="1" applyFont="1" applyFill="1" applyBorder="1" applyAlignment="1">
      <alignment horizontal="right" vertical="center"/>
    </xf>
    <xf numFmtId="3" fontId="7" fillId="17" borderId="22" xfId="2" applyNumberFormat="1" applyFont="1" applyFill="1" applyBorder="1" applyAlignment="1">
      <alignment horizontal="right" vertical="center"/>
    </xf>
    <xf numFmtId="3" fontId="7" fillId="17" borderId="84" xfId="2" applyNumberFormat="1" applyFont="1" applyFill="1" applyBorder="1" applyAlignment="1">
      <alignment horizontal="right" vertical="center"/>
    </xf>
    <xf numFmtId="165" fontId="7" fillId="17" borderId="22" xfId="2" applyNumberFormat="1" applyFont="1" applyFill="1" applyBorder="1" applyAlignment="1">
      <alignment horizontal="right" vertical="center"/>
    </xf>
    <xf numFmtId="3" fontId="7" fillId="17" borderId="22" xfId="2" applyNumberFormat="1" applyFont="1" applyFill="1" applyBorder="1" applyAlignment="1">
      <alignment horizontal="center" vertical="center"/>
    </xf>
    <xf numFmtId="0" fontId="15" fillId="19" borderId="30" xfId="2" applyFont="1" applyFill="1" applyBorder="1" applyAlignment="1">
      <alignment horizontal="left" vertical="center"/>
    </xf>
    <xf numFmtId="0" fontId="20" fillId="19" borderId="59" xfId="2" applyFont="1" applyFill="1" applyBorder="1" applyAlignment="1">
      <alignment horizontal="left" vertical="center"/>
    </xf>
    <xf numFmtId="3" fontId="5" fillId="19" borderId="28" xfId="2" applyNumberFormat="1" applyFont="1" applyFill="1" applyBorder="1" applyAlignment="1">
      <alignment horizontal="right" vertical="center"/>
    </xf>
    <xf numFmtId="3" fontId="5" fillId="19" borderId="30" xfId="2" applyNumberFormat="1" applyFont="1" applyFill="1" applyBorder="1" applyAlignment="1">
      <alignment horizontal="right" vertical="center"/>
    </xf>
    <xf numFmtId="43" fontId="5" fillId="19" borderId="30" xfId="1" applyFont="1" applyFill="1" applyBorder="1" applyAlignment="1">
      <alignment horizontal="right" vertical="center"/>
    </xf>
    <xf numFmtId="43" fontId="5" fillId="19" borderId="59" xfId="1" applyFont="1" applyFill="1" applyBorder="1" applyAlignment="1">
      <alignment horizontal="right" vertical="center"/>
    </xf>
    <xf numFmtId="3" fontId="5" fillId="19" borderId="59" xfId="2" applyNumberFormat="1" applyFont="1" applyFill="1" applyBorder="1" applyAlignment="1">
      <alignment horizontal="right" vertical="center"/>
    </xf>
    <xf numFmtId="165" fontId="5" fillId="19" borderId="30" xfId="2" applyNumberFormat="1" applyFont="1" applyFill="1" applyBorder="1" applyAlignment="1">
      <alignment horizontal="right" vertical="center"/>
    </xf>
    <xf numFmtId="43" fontId="6" fillId="17" borderId="80" xfId="1" applyFont="1" applyFill="1" applyBorder="1" applyAlignment="1">
      <alignment horizontal="right" vertical="center"/>
    </xf>
    <xf numFmtId="43" fontId="6" fillId="17" borderId="66" xfId="1" applyFont="1" applyFill="1" applyBorder="1" applyAlignment="1">
      <alignment horizontal="right" vertical="center"/>
    </xf>
    <xf numFmtId="0" fontId="7" fillId="17" borderId="65" xfId="2" applyFont="1" applyFill="1" applyBorder="1" applyAlignment="1">
      <alignment vertical="top" wrapText="1"/>
    </xf>
    <xf numFmtId="43" fontId="43" fillId="17" borderId="81" xfId="1" applyFont="1" applyFill="1" applyBorder="1" applyAlignment="1">
      <alignment vertical="center"/>
    </xf>
    <xf numFmtId="165" fontId="43" fillId="17" borderId="80" xfId="3" applyNumberFormat="1" applyFont="1" applyFill="1" applyBorder="1" applyAlignment="1">
      <alignment vertical="center"/>
    </xf>
    <xf numFmtId="43" fontId="16" fillId="17" borderId="72" xfId="1" applyFont="1" applyFill="1" applyBorder="1" applyAlignment="1">
      <alignment vertical="center"/>
    </xf>
    <xf numFmtId="165" fontId="16" fillId="17" borderId="71" xfId="3" applyNumberFormat="1" applyFont="1" applyFill="1" applyBorder="1" applyAlignment="1">
      <alignment vertical="center"/>
    </xf>
    <xf numFmtId="3" fontId="6" fillId="2" borderId="64" xfId="2" applyNumberFormat="1" applyFont="1" applyFill="1" applyBorder="1" applyAlignment="1"/>
    <xf numFmtId="165" fontId="6" fillId="2" borderId="65" xfId="2" applyNumberFormat="1" applyFont="1" applyFill="1" applyBorder="1" applyAlignment="1"/>
    <xf numFmtId="43" fontId="6" fillId="2" borderId="65" xfId="1" applyFont="1" applyFill="1" applyBorder="1" applyAlignment="1">
      <alignment horizontal="right" vertical="center"/>
    </xf>
    <xf numFmtId="3" fontId="6" fillId="0" borderId="65" xfId="2" applyNumberFormat="1" applyFont="1" applyFill="1" applyBorder="1" applyAlignment="1">
      <alignment horizontal="right" vertical="center"/>
    </xf>
    <xf numFmtId="43" fontId="6" fillId="0" borderId="65" xfId="1" applyFont="1" applyFill="1" applyBorder="1" applyAlignment="1">
      <alignment horizontal="right" vertical="center"/>
    </xf>
    <xf numFmtId="43" fontId="6" fillId="0" borderId="66" xfId="1" applyFont="1" applyFill="1" applyBorder="1" applyAlignment="1">
      <alignment horizontal="right" vertical="center"/>
    </xf>
    <xf numFmtId="3" fontId="6" fillId="0" borderId="64" xfId="2" applyNumberFormat="1" applyFont="1" applyFill="1" applyBorder="1" applyAlignment="1">
      <alignment horizontal="right" vertical="center"/>
    </xf>
    <xf numFmtId="165" fontId="6" fillId="0" borderId="65" xfId="2" applyNumberFormat="1" applyFont="1" applyFill="1" applyBorder="1" applyAlignment="1">
      <alignment horizontal="right" vertical="center"/>
    </xf>
    <xf numFmtId="43" fontId="43" fillId="0" borderId="67" xfId="1" applyFont="1" applyFill="1" applyBorder="1" applyAlignment="1">
      <alignment vertical="center"/>
    </xf>
    <xf numFmtId="0" fontId="7" fillId="0" borderId="71" xfId="2" applyFont="1" applyFill="1" applyBorder="1" applyAlignment="1">
      <alignment horizontal="left" vertical="center"/>
    </xf>
    <xf numFmtId="3" fontId="7" fillId="0" borderId="72" xfId="2" applyNumberFormat="1" applyFont="1" applyFill="1" applyBorder="1" applyAlignment="1">
      <alignment horizontal="right" vertical="center"/>
    </xf>
    <xf numFmtId="3" fontId="7" fillId="2" borderId="71" xfId="2" applyNumberFormat="1" applyFont="1" applyFill="1" applyBorder="1" applyAlignment="1">
      <alignment horizontal="right" vertical="center"/>
    </xf>
    <xf numFmtId="0" fontId="5" fillId="0" borderId="47" xfId="2" applyFont="1" applyFill="1" applyBorder="1" applyAlignment="1">
      <alignment horizontal="center" vertical="center"/>
    </xf>
    <xf numFmtId="0" fontId="44" fillId="0" borderId="39" xfId="2" applyFont="1" applyFill="1" applyBorder="1" applyAlignment="1">
      <alignment vertical="center"/>
    </xf>
    <xf numFmtId="0" fontId="36" fillId="0" borderId="52" xfId="0" applyFont="1" applyBorder="1" applyAlignment="1">
      <alignment horizontal="center" vertical="center" wrapText="1"/>
    </xf>
    <xf numFmtId="3" fontId="16" fillId="0" borderId="51" xfId="3" applyNumberFormat="1" applyFont="1" applyFill="1" applyBorder="1" applyAlignment="1">
      <alignment vertical="center"/>
    </xf>
    <xf numFmtId="43" fontId="7" fillId="0" borderId="40" xfId="1" applyFont="1" applyFill="1" applyBorder="1" applyAlignment="1">
      <alignment horizontal="right"/>
    </xf>
    <xf numFmtId="3" fontId="7" fillId="0" borderId="40" xfId="1" applyNumberFormat="1" applyFont="1" applyFill="1" applyBorder="1" applyAlignment="1">
      <alignment horizontal="right" vertical="center"/>
    </xf>
    <xf numFmtId="3" fontId="7" fillId="0" borderId="105" xfId="1" applyNumberFormat="1" applyFont="1" applyFill="1" applyBorder="1" applyAlignment="1">
      <alignment horizontal="right" vertical="center"/>
    </xf>
    <xf numFmtId="3" fontId="7" fillId="0" borderId="51" xfId="1" applyNumberFormat="1" applyFont="1" applyFill="1" applyBorder="1" applyAlignment="1">
      <alignment horizontal="right" vertical="center"/>
    </xf>
    <xf numFmtId="165" fontId="5" fillId="2" borderId="40" xfId="0" applyNumberFormat="1" applyFont="1" applyFill="1" applyBorder="1" applyAlignment="1">
      <alignment horizontal="right" vertical="center"/>
    </xf>
    <xf numFmtId="167" fontId="7" fillId="0" borderId="40" xfId="1" applyNumberFormat="1" applyFont="1" applyFill="1" applyBorder="1" applyAlignment="1">
      <alignment horizontal="right"/>
    </xf>
    <xf numFmtId="0" fontId="33" fillId="0" borderId="52" xfId="2" applyFont="1" applyFill="1" applyBorder="1" applyAlignment="1">
      <alignment horizontal="center" vertical="center" wrapText="1"/>
    </xf>
    <xf numFmtId="0" fontId="5" fillId="21" borderId="19" xfId="2" applyFont="1" applyFill="1" applyBorder="1" applyAlignment="1">
      <alignment vertical="top"/>
    </xf>
    <xf numFmtId="0" fontId="5" fillId="21" borderId="9" xfId="2" applyFont="1" applyFill="1" applyBorder="1" applyAlignment="1">
      <alignment vertical="top"/>
    </xf>
    <xf numFmtId="0" fontId="5" fillId="21" borderId="13" xfId="2" applyFont="1" applyFill="1" applyBorder="1" applyAlignment="1">
      <alignment vertical="top"/>
    </xf>
    <xf numFmtId="0" fontId="30" fillId="0" borderId="33" xfId="0" quotePrefix="1" applyFont="1" applyBorder="1" applyAlignment="1">
      <alignment horizontal="center" vertical="top"/>
    </xf>
    <xf numFmtId="3" fontId="22" fillId="2" borderId="139" xfId="0" quotePrefix="1" applyNumberFormat="1" applyFont="1" applyFill="1" applyBorder="1" applyAlignment="1">
      <alignment vertical="top"/>
    </xf>
    <xf numFmtId="0" fontId="5" fillId="20" borderId="9" xfId="2" applyFont="1" applyFill="1" applyBorder="1" applyAlignment="1">
      <alignment vertical="top"/>
    </xf>
    <xf numFmtId="3" fontId="5" fillId="19" borderId="28" xfId="0" applyNumberFormat="1" applyFont="1" applyFill="1" applyBorder="1" applyAlignment="1">
      <alignment horizontal="right" vertical="center"/>
    </xf>
    <xf numFmtId="3" fontId="5" fillId="19" borderId="30" xfId="0" applyNumberFormat="1" applyFont="1" applyFill="1" applyBorder="1" applyAlignment="1">
      <alignment horizontal="right" vertical="center"/>
    </xf>
    <xf numFmtId="3" fontId="5" fillId="19" borderId="29" xfId="0" applyNumberFormat="1" applyFont="1" applyFill="1" applyBorder="1" applyAlignment="1">
      <alignment horizontal="right" vertical="center"/>
    </xf>
    <xf numFmtId="3" fontId="5" fillId="19" borderId="59" xfId="0" applyNumberFormat="1" applyFont="1" applyFill="1" applyBorder="1" applyAlignment="1">
      <alignment horizontal="right" vertical="center"/>
    </xf>
    <xf numFmtId="3" fontId="5" fillId="19" borderId="32" xfId="0" applyNumberFormat="1" applyFont="1" applyFill="1" applyBorder="1" applyAlignment="1">
      <alignment horizontal="right" vertical="center"/>
    </xf>
    <xf numFmtId="165" fontId="5" fillId="19" borderId="29" xfId="0" applyNumberFormat="1" applyFont="1" applyFill="1" applyBorder="1" applyAlignment="1">
      <alignment horizontal="right" vertical="center"/>
    </xf>
    <xf numFmtId="0" fontId="6" fillId="20" borderId="80" xfId="2" applyFont="1" applyFill="1" applyBorder="1" applyAlignment="1">
      <alignment vertical="top" wrapText="1"/>
    </xf>
    <xf numFmtId="3" fontId="22" fillId="16" borderId="82" xfId="2" applyNumberFormat="1" applyFont="1" applyFill="1" applyBorder="1" applyAlignment="1">
      <alignment horizontal="right" vertical="center"/>
    </xf>
    <xf numFmtId="3" fontId="22" fillId="16" borderId="80" xfId="2" applyNumberFormat="1" applyFont="1" applyFill="1" applyBorder="1" applyAlignment="1">
      <alignment horizontal="right" vertical="center"/>
    </xf>
    <xf numFmtId="3" fontId="22" fillId="16" borderId="83" xfId="2" applyNumberFormat="1" applyFont="1" applyFill="1" applyBorder="1" applyAlignment="1">
      <alignment horizontal="right" vertical="center"/>
    </xf>
    <xf numFmtId="3" fontId="22" fillId="16" borderId="81" xfId="2" applyNumberFormat="1" applyFont="1" applyFill="1" applyBorder="1" applyAlignment="1">
      <alignment horizontal="right" vertical="center"/>
    </xf>
    <xf numFmtId="3" fontId="22" fillId="16" borderId="91" xfId="2" applyNumberFormat="1" applyFont="1" applyFill="1" applyBorder="1" applyAlignment="1">
      <alignment horizontal="right" vertical="center"/>
    </xf>
    <xf numFmtId="165" fontId="22" fillId="16" borderId="83" xfId="2" applyNumberFormat="1" applyFont="1" applyFill="1" applyBorder="1" applyAlignment="1">
      <alignment horizontal="right" vertical="center"/>
    </xf>
    <xf numFmtId="0" fontId="7" fillId="20" borderId="65" xfId="2" applyFont="1" applyFill="1" applyBorder="1" applyAlignment="1">
      <alignment vertical="top" wrapText="1"/>
    </xf>
    <xf numFmtId="3" fontId="7" fillId="16" borderId="64" xfId="2" applyNumberFormat="1" applyFont="1" applyFill="1" applyBorder="1" applyAlignment="1">
      <alignment horizontal="right" vertical="center"/>
    </xf>
    <xf numFmtId="3" fontId="7" fillId="16" borderId="74" xfId="2" applyNumberFormat="1" applyFont="1" applyFill="1" applyBorder="1" applyAlignment="1">
      <alignment horizontal="right" vertical="center"/>
    </xf>
    <xf numFmtId="3" fontId="7" fillId="16" borderId="67" xfId="2" applyNumberFormat="1" applyFont="1" applyFill="1" applyBorder="1" applyAlignment="1">
      <alignment horizontal="right" vertical="center"/>
    </xf>
    <xf numFmtId="3" fontId="7" fillId="16" borderId="66" xfId="2" applyNumberFormat="1" applyFont="1" applyFill="1" applyBorder="1" applyAlignment="1">
      <alignment horizontal="right" vertical="center"/>
    </xf>
    <xf numFmtId="165" fontId="7" fillId="16" borderId="67" xfId="2" applyNumberFormat="1" applyFont="1" applyFill="1" applyBorder="1" applyAlignment="1">
      <alignment horizontal="right" vertical="center"/>
    </xf>
    <xf numFmtId="3" fontId="7" fillId="16" borderId="65" xfId="2" applyNumberFormat="1" applyFont="1" applyFill="1" applyBorder="1" applyAlignment="1">
      <alignment horizontal="right" vertical="center"/>
    </xf>
    <xf numFmtId="3" fontId="7" fillId="16" borderId="65" xfId="2" applyNumberFormat="1" applyFont="1" applyFill="1" applyBorder="1" applyAlignment="1">
      <alignment vertical="top" wrapText="1"/>
    </xf>
    <xf numFmtId="43" fontId="7" fillId="16" borderId="66" xfId="1" applyFont="1" applyFill="1" applyBorder="1" applyAlignment="1">
      <alignment horizontal="right" vertical="center"/>
    </xf>
    <xf numFmtId="165" fontId="25" fillId="16" borderId="67" xfId="2" applyNumberFormat="1" applyFont="1" applyFill="1" applyBorder="1" applyAlignment="1">
      <alignment horizontal="right" vertical="center"/>
    </xf>
    <xf numFmtId="43" fontId="7" fillId="16" borderId="65" xfId="1" applyFont="1" applyFill="1" applyBorder="1" applyAlignment="1">
      <alignment horizontal="right" vertical="center"/>
    </xf>
    <xf numFmtId="43" fontId="25" fillId="16" borderId="67" xfId="1" applyFont="1" applyFill="1" applyBorder="1" applyAlignment="1">
      <alignment horizontal="right" vertical="center"/>
    </xf>
    <xf numFmtId="43" fontId="7" fillId="16" borderId="67" xfId="1" applyFont="1" applyFill="1" applyBorder="1" applyAlignment="1">
      <alignment horizontal="right" vertical="center"/>
    </xf>
    <xf numFmtId="0" fontId="7" fillId="16" borderId="65" xfId="2" applyFont="1" applyFill="1" applyBorder="1" applyAlignment="1">
      <alignment vertical="top"/>
    </xf>
    <xf numFmtId="3" fontId="5" fillId="19" borderId="78" xfId="2" applyNumberFormat="1" applyFont="1" applyFill="1" applyBorder="1" applyAlignment="1"/>
    <xf numFmtId="3" fontId="5" fillId="19" borderId="85" xfId="2" applyNumberFormat="1" applyFont="1" applyFill="1" applyBorder="1" applyAlignment="1"/>
    <xf numFmtId="3" fontId="5" fillId="19" borderId="79" xfId="2" applyNumberFormat="1" applyFont="1" applyFill="1" applyBorder="1" applyAlignment="1"/>
    <xf numFmtId="43" fontId="5" fillId="19" borderId="77" xfId="1" applyFont="1" applyFill="1" applyBorder="1" applyAlignment="1"/>
    <xf numFmtId="3" fontId="5" fillId="19" borderId="77" xfId="2" applyNumberFormat="1" applyFont="1" applyFill="1" applyBorder="1" applyAlignment="1"/>
    <xf numFmtId="165" fontId="5" fillId="19" borderId="79" xfId="0" applyNumberFormat="1" applyFont="1" applyFill="1" applyBorder="1" applyAlignment="1">
      <alignment horizontal="right" vertical="center"/>
    </xf>
    <xf numFmtId="3" fontId="5" fillId="19" borderId="76" xfId="2" applyNumberFormat="1" applyFont="1" applyFill="1" applyBorder="1" applyAlignment="1"/>
    <xf numFmtId="3" fontId="22" fillId="16" borderId="80" xfId="2" applyNumberFormat="1" applyFont="1" applyFill="1" applyBorder="1" applyAlignment="1">
      <alignment vertical="top" wrapText="1"/>
    </xf>
    <xf numFmtId="43" fontId="22" fillId="16" borderId="81" xfId="1" applyFont="1" applyFill="1" applyBorder="1" applyAlignment="1">
      <alignment horizontal="right" vertical="center"/>
    </xf>
    <xf numFmtId="3" fontId="7" fillId="16" borderId="110" xfId="2" applyNumberFormat="1" applyFont="1" applyFill="1" applyBorder="1" applyAlignment="1">
      <alignment horizontal="right" vertical="center"/>
    </xf>
    <xf numFmtId="0" fontId="5" fillId="20" borderId="13" xfId="2" applyFont="1" applyFill="1" applyBorder="1" applyAlignment="1">
      <alignment vertical="top"/>
    </xf>
    <xf numFmtId="0" fontId="7" fillId="16" borderId="71" xfId="2" applyFont="1" applyFill="1" applyBorder="1" applyAlignment="1">
      <alignment vertical="top"/>
    </xf>
    <xf numFmtId="3" fontId="7" fillId="16" borderId="70" xfId="2" applyNumberFormat="1" applyFont="1" applyFill="1" applyBorder="1" applyAlignment="1">
      <alignment horizontal="right" vertical="center"/>
    </xf>
    <xf numFmtId="3" fontId="7" fillId="16" borderId="75" xfId="2" applyNumberFormat="1" applyFont="1" applyFill="1" applyBorder="1" applyAlignment="1">
      <alignment horizontal="right" vertical="center"/>
    </xf>
    <xf numFmtId="43" fontId="7" fillId="16" borderId="73" xfId="1" applyFont="1" applyFill="1" applyBorder="1" applyAlignment="1">
      <alignment horizontal="right" vertical="center"/>
    </xf>
    <xf numFmtId="43" fontId="7" fillId="16" borderId="72" xfId="1" applyFont="1" applyFill="1" applyBorder="1" applyAlignment="1">
      <alignment horizontal="right" vertical="center"/>
    </xf>
    <xf numFmtId="3" fontId="7" fillId="16" borderId="73" xfId="2" applyNumberFormat="1" applyFont="1" applyFill="1" applyBorder="1" applyAlignment="1">
      <alignment horizontal="right" vertical="center"/>
    </xf>
    <xf numFmtId="3" fontId="7" fillId="16" borderId="72" xfId="2" applyNumberFormat="1" applyFont="1" applyFill="1" applyBorder="1" applyAlignment="1">
      <alignment horizontal="right" vertical="center"/>
    </xf>
    <xf numFmtId="3" fontId="7" fillId="16" borderId="111" xfId="2" applyNumberFormat="1" applyFont="1" applyFill="1" applyBorder="1" applyAlignment="1">
      <alignment horizontal="right" vertical="center"/>
    </xf>
    <xf numFmtId="43" fontId="7" fillId="16" borderId="71" xfId="1" applyFont="1" applyFill="1" applyBorder="1" applyAlignment="1">
      <alignment horizontal="right" vertical="center"/>
    </xf>
    <xf numFmtId="0" fontId="5" fillId="14" borderId="61" xfId="0" applyFont="1" applyFill="1" applyBorder="1" applyAlignment="1">
      <alignment horizontal="left" vertical="center" wrapText="1"/>
    </xf>
    <xf numFmtId="0" fontId="34" fillId="14" borderId="62" xfId="0" applyFont="1" applyFill="1" applyBorder="1" applyAlignment="1">
      <alignment horizontal="left" vertical="center" wrapText="1"/>
    </xf>
    <xf numFmtId="3" fontId="5" fillId="14" borderId="60" xfId="0" applyNumberFormat="1" applyFont="1" applyFill="1" applyBorder="1" applyAlignment="1">
      <alignment vertical="center"/>
    </xf>
    <xf numFmtId="3" fontId="5" fillId="14" borderId="61" xfId="0" applyNumberFormat="1" applyFont="1" applyFill="1" applyBorder="1" applyAlignment="1">
      <alignment vertical="center"/>
    </xf>
    <xf numFmtId="0" fontId="16" fillId="14" borderId="0" xfId="0" applyFont="1" applyFill="1" applyBorder="1"/>
    <xf numFmtId="3" fontId="5" fillId="14" borderId="62" xfId="0" applyNumberFormat="1" applyFont="1" applyFill="1" applyBorder="1" applyAlignment="1">
      <alignment vertical="center"/>
    </xf>
    <xf numFmtId="3" fontId="5" fillId="14" borderId="106" xfId="0" applyNumberFormat="1" applyFont="1" applyFill="1" applyBorder="1" applyAlignment="1">
      <alignment vertical="center"/>
    </xf>
    <xf numFmtId="165" fontId="5" fillId="14" borderId="61" xfId="0" applyNumberFormat="1" applyFont="1" applyFill="1" applyBorder="1" applyAlignment="1">
      <alignment vertical="center"/>
    </xf>
    <xf numFmtId="3" fontId="5" fillId="4" borderId="69" xfId="0" applyNumberFormat="1" applyFont="1" applyFill="1" applyBorder="1" applyAlignment="1">
      <alignment horizontal="right" vertical="center"/>
    </xf>
    <xf numFmtId="3" fontId="5" fillId="4" borderId="67" xfId="0" applyNumberFormat="1" applyFont="1" applyFill="1" applyBorder="1" applyAlignment="1">
      <alignment horizontal="right" vertical="center"/>
    </xf>
    <xf numFmtId="43" fontId="5" fillId="4" borderId="67" xfId="1" applyFont="1" applyFill="1" applyBorder="1" applyAlignment="1">
      <alignment horizontal="right" vertical="center"/>
    </xf>
    <xf numFmtId="3" fontId="5" fillId="4" borderId="110" xfId="0" applyNumberFormat="1" applyFont="1" applyFill="1" applyBorder="1" applyAlignment="1">
      <alignment horizontal="right" vertical="center"/>
    </xf>
    <xf numFmtId="165" fontId="5" fillId="4" borderId="65" xfId="0" applyNumberFormat="1" applyFont="1" applyFill="1" applyBorder="1" applyAlignment="1">
      <alignment horizontal="right" vertical="center"/>
    </xf>
    <xf numFmtId="3" fontId="22" fillId="0" borderId="69" xfId="0" applyNumberFormat="1" applyFont="1" applyFill="1" applyBorder="1" applyAlignment="1">
      <alignment horizontal="right" vertical="center"/>
    </xf>
    <xf numFmtId="3" fontId="22" fillId="0" borderId="65" xfId="0" applyNumberFormat="1" applyFont="1" applyFill="1" applyBorder="1" applyAlignment="1">
      <alignment horizontal="right" vertical="center"/>
    </xf>
    <xf numFmtId="3" fontId="22" fillId="0" borderId="67" xfId="0" applyNumberFormat="1" applyFont="1" applyFill="1" applyBorder="1" applyAlignment="1">
      <alignment horizontal="right" vertical="center"/>
    </xf>
    <xf numFmtId="3" fontId="22" fillId="0" borderId="64" xfId="0" applyNumberFormat="1" applyFont="1" applyFill="1" applyBorder="1" applyAlignment="1">
      <alignment horizontal="right" vertical="center"/>
    </xf>
    <xf numFmtId="3" fontId="6" fillId="0" borderId="66" xfId="0" applyNumberFormat="1" applyFont="1" applyFill="1" applyBorder="1" applyAlignment="1">
      <alignment horizontal="right" vertical="center"/>
    </xf>
    <xf numFmtId="3" fontId="22" fillId="0" borderId="110" xfId="0" applyNumberFormat="1" applyFont="1" applyFill="1" applyBorder="1" applyAlignment="1">
      <alignment horizontal="right" vertical="center"/>
    </xf>
    <xf numFmtId="3" fontId="6" fillId="0" borderId="65" xfId="0" applyNumberFormat="1" applyFont="1" applyFill="1" applyBorder="1" applyAlignment="1">
      <alignment horizontal="right" vertical="center"/>
    </xf>
    <xf numFmtId="0" fontId="7" fillId="0" borderId="65" xfId="0" applyFont="1" applyFill="1" applyBorder="1" applyAlignment="1">
      <alignment horizontal="left" vertical="center"/>
    </xf>
    <xf numFmtId="3" fontId="25" fillId="0" borderId="69" xfId="0" applyNumberFormat="1" applyFont="1" applyFill="1" applyBorder="1" applyAlignment="1">
      <alignment horizontal="right" vertical="center"/>
    </xf>
    <xf numFmtId="3" fontId="25" fillId="0" borderId="67" xfId="0" applyNumberFormat="1" applyFont="1" applyFill="1" applyBorder="1" applyAlignment="1">
      <alignment horizontal="right" vertical="center"/>
    </xf>
    <xf numFmtId="3" fontId="25" fillId="0" borderId="64" xfId="0" applyNumberFormat="1" applyFont="1" applyFill="1" applyBorder="1" applyAlignment="1">
      <alignment horizontal="right" vertical="center"/>
    </xf>
    <xf numFmtId="3" fontId="7" fillId="0" borderId="66" xfId="0" applyNumberFormat="1" applyFont="1" applyFill="1" applyBorder="1" applyAlignment="1">
      <alignment horizontal="right" vertical="center"/>
    </xf>
    <xf numFmtId="0" fontId="7" fillId="2" borderId="65" xfId="2" applyFont="1" applyFill="1" applyBorder="1" applyAlignment="1">
      <alignment vertical="top"/>
    </xf>
    <xf numFmtId="3" fontId="25" fillId="0" borderId="110" xfId="0" applyNumberFormat="1" applyFont="1" applyFill="1" applyBorder="1" applyAlignment="1">
      <alignment horizontal="right" vertical="center"/>
    </xf>
    <xf numFmtId="3" fontId="5" fillId="4" borderId="110" xfId="2" applyNumberFormat="1" applyFont="1" applyFill="1" applyBorder="1" applyAlignment="1"/>
    <xf numFmtId="164" fontId="15" fillId="4" borderId="69" xfId="2" applyNumberFormat="1" applyFont="1" applyFill="1" applyBorder="1" applyAlignment="1">
      <alignment horizontal="right" vertical="center"/>
    </xf>
    <xf numFmtId="3" fontId="6" fillId="2" borderId="66" xfId="2" applyNumberFormat="1" applyFont="1" applyFill="1" applyBorder="1" applyAlignment="1"/>
    <xf numFmtId="3" fontId="22" fillId="2" borderId="110" xfId="2" applyNumberFormat="1" applyFont="1" applyFill="1" applyBorder="1" applyAlignment="1"/>
    <xf numFmtId="164" fontId="22" fillId="0" borderId="69" xfId="2" applyNumberFormat="1" applyFont="1" applyFill="1" applyBorder="1" applyAlignment="1">
      <alignment horizontal="right" vertical="center"/>
    </xf>
    <xf numFmtId="0" fontId="7" fillId="2" borderId="71" xfId="2" applyFont="1" applyFill="1" applyBorder="1" applyAlignment="1">
      <alignment vertical="top"/>
    </xf>
    <xf numFmtId="43" fontId="16" fillId="0" borderId="73" xfId="1" applyFont="1" applyFill="1" applyBorder="1" applyAlignment="1">
      <alignment vertical="center"/>
    </xf>
    <xf numFmtId="43" fontId="16" fillId="0" borderId="111" xfId="1" applyFont="1" applyFill="1" applyBorder="1" applyAlignment="1">
      <alignment vertical="center"/>
    </xf>
    <xf numFmtId="43" fontId="25" fillId="0" borderId="69" xfId="1" applyFont="1" applyFill="1" applyBorder="1" applyAlignment="1">
      <alignment horizontal="right" vertical="center"/>
    </xf>
    <xf numFmtId="0" fontId="34" fillId="14" borderId="62" xfId="2" applyFont="1" applyFill="1" applyBorder="1" applyAlignment="1">
      <alignment vertical="center" wrapText="1"/>
    </xf>
    <xf numFmtId="3" fontId="15" fillId="14" borderId="60" xfId="2" applyNumberFormat="1" applyFont="1" applyFill="1" applyBorder="1" applyAlignment="1"/>
    <xf numFmtId="43" fontId="15" fillId="14" borderId="62" xfId="1" applyFont="1" applyFill="1" applyBorder="1" applyAlignment="1">
      <alignment horizontal="right" vertical="center"/>
    </xf>
    <xf numFmtId="3" fontId="15" fillId="4" borderId="74" xfId="2" applyNumberFormat="1" applyFont="1" applyFill="1" applyBorder="1" applyAlignment="1">
      <alignment horizontal="right" vertical="center"/>
    </xf>
    <xf numFmtId="3" fontId="15" fillId="4" borderId="67" xfId="2" applyNumberFormat="1" applyFont="1" applyFill="1" applyBorder="1" applyAlignment="1">
      <alignment horizontal="right" vertical="center"/>
    </xf>
    <xf numFmtId="43" fontId="15" fillId="4" borderId="69" xfId="1" applyFont="1" applyFill="1" applyBorder="1" applyAlignment="1">
      <alignment horizontal="right" vertical="center"/>
    </xf>
    <xf numFmtId="165" fontId="15" fillId="4" borderId="67" xfId="2" applyNumberFormat="1" applyFont="1" applyFill="1" applyBorder="1" applyAlignment="1">
      <alignment horizontal="right" vertical="center"/>
    </xf>
    <xf numFmtId="43" fontId="15" fillId="4" borderId="67" xfId="1" applyFont="1" applyFill="1" applyBorder="1" applyAlignment="1">
      <alignment horizontal="right" vertical="center"/>
    </xf>
    <xf numFmtId="3" fontId="22" fillId="0" borderId="74" xfId="2" applyNumberFormat="1" applyFont="1" applyFill="1" applyBorder="1" applyAlignment="1">
      <alignment horizontal="right" vertical="center"/>
    </xf>
    <xf numFmtId="3" fontId="22" fillId="0" borderId="67" xfId="2" applyNumberFormat="1" applyFont="1" applyFill="1" applyBorder="1" applyAlignment="1">
      <alignment horizontal="right" vertical="center"/>
    </xf>
    <xf numFmtId="43" fontId="22" fillId="0" borderId="69" xfId="1" applyFont="1" applyFill="1" applyBorder="1" applyAlignment="1">
      <alignment horizontal="right" vertical="center"/>
    </xf>
    <xf numFmtId="165" fontId="22" fillId="0" borderId="67" xfId="2" applyNumberFormat="1" applyFont="1" applyFill="1" applyBorder="1" applyAlignment="1">
      <alignment horizontal="right" vertical="center"/>
    </xf>
    <xf numFmtId="43" fontId="22" fillId="0" borderId="67" xfId="1" applyFont="1" applyFill="1" applyBorder="1" applyAlignment="1">
      <alignment horizontal="right" vertical="center"/>
    </xf>
    <xf numFmtId="3" fontId="16" fillId="0" borderId="74" xfId="3" applyNumberFormat="1" applyFont="1" applyFill="1" applyBorder="1" applyAlignment="1">
      <alignment vertical="center"/>
    </xf>
    <xf numFmtId="3" fontId="16" fillId="0" borderId="67" xfId="3" applyNumberFormat="1" applyFont="1" applyFill="1" applyBorder="1" applyAlignment="1">
      <alignment vertical="center"/>
    </xf>
    <xf numFmtId="165" fontId="7" fillId="0" borderId="67" xfId="0" applyNumberFormat="1" applyFont="1" applyFill="1" applyBorder="1" applyAlignment="1">
      <alignment horizontal="right" vertical="center"/>
    </xf>
    <xf numFmtId="43" fontId="7" fillId="0" borderId="67" xfId="1" applyFont="1" applyFill="1" applyBorder="1" applyAlignment="1">
      <alignment horizontal="right" vertical="center"/>
    </xf>
    <xf numFmtId="43" fontId="16" fillId="0" borderId="0" xfId="1" applyFont="1" applyBorder="1"/>
    <xf numFmtId="43" fontId="16" fillId="0" borderId="96" xfId="1" applyFont="1" applyBorder="1"/>
    <xf numFmtId="3" fontId="16" fillId="0" borderId="75" xfId="3" applyNumberFormat="1" applyFont="1" applyFill="1" applyBorder="1" applyAlignment="1">
      <alignment vertical="center"/>
    </xf>
    <xf numFmtId="3" fontId="16" fillId="0" borderId="73" xfId="3" applyNumberFormat="1" applyFont="1" applyFill="1" applyBorder="1" applyAlignment="1">
      <alignment vertical="center"/>
    </xf>
    <xf numFmtId="43" fontId="16" fillId="0" borderId="104" xfId="1" applyFont="1" applyFill="1" applyBorder="1" applyAlignment="1">
      <alignment vertical="center"/>
    </xf>
    <xf numFmtId="43" fontId="16" fillId="0" borderId="90" xfId="1" applyFont="1" applyFill="1" applyBorder="1" applyAlignment="1">
      <alignment vertical="center"/>
    </xf>
    <xf numFmtId="165" fontId="7" fillId="0" borderId="71" xfId="0" applyNumberFormat="1" applyFont="1" applyFill="1" applyBorder="1" applyAlignment="1">
      <alignment horizontal="right" vertical="center"/>
    </xf>
    <xf numFmtId="0" fontId="16" fillId="0" borderId="0" xfId="0" applyFont="1" applyFill="1" applyBorder="1"/>
    <xf numFmtId="0" fontId="16" fillId="0" borderId="21" xfId="0" applyFont="1" applyFill="1" applyBorder="1"/>
    <xf numFmtId="3" fontId="5" fillId="4" borderId="74" xfId="0" applyNumberFormat="1" applyFont="1" applyFill="1" applyBorder="1" applyAlignment="1">
      <alignment horizontal="right" vertical="center"/>
    </xf>
    <xf numFmtId="165" fontId="5" fillId="4" borderId="67" xfId="0" applyNumberFormat="1" applyFont="1" applyFill="1" applyBorder="1" applyAlignment="1">
      <alignment horizontal="right" vertical="center"/>
    </xf>
    <xf numFmtId="3" fontId="22" fillId="0" borderId="74" xfId="0" applyNumberFormat="1" applyFont="1" applyFill="1" applyBorder="1" applyAlignment="1">
      <alignment horizontal="right" vertical="center"/>
    </xf>
    <xf numFmtId="3" fontId="22" fillId="0" borderId="66" xfId="0" applyNumberFormat="1" applyFont="1" applyFill="1" applyBorder="1" applyAlignment="1">
      <alignment horizontal="right" vertical="center"/>
    </xf>
    <xf numFmtId="165" fontId="6" fillId="0" borderId="67" xfId="0" applyNumberFormat="1" applyFont="1" applyFill="1" applyBorder="1" applyAlignment="1">
      <alignment horizontal="right" vertical="center"/>
    </xf>
    <xf numFmtId="3" fontId="16" fillId="0" borderId="72" xfId="3" applyNumberFormat="1" applyFont="1" applyFill="1" applyBorder="1" applyAlignment="1">
      <alignment vertical="center"/>
    </xf>
    <xf numFmtId="165" fontId="7" fillId="0" borderId="73" xfId="0" applyNumberFormat="1" applyFont="1" applyFill="1" applyBorder="1" applyAlignment="1">
      <alignment horizontal="right" vertical="center"/>
    </xf>
    <xf numFmtId="3" fontId="6" fillId="0" borderId="64" xfId="0" applyNumberFormat="1" applyFont="1" applyFill="1" applyBorder="1" applyAlignment="1">
      <alignment horizontal="right" vertical="center"/>
    </xf>
    <xf numFmtId="165" fontId="6" fillId="0" borderId="65" xfId="0" applyNumberFormat="1" applyFont="1" applyFill="1" applyBorder="1" applyAlignment="1">
      <alignment horizontal="right" vertical="center"/>
    </xf>
    <xf numFmtId="0" fontId="7" fillId="0" borderId="71" xfId="0" applyFont="1" applyFill="1" applyBorder="1" applyAlignment="1">
      <alignment horizontal="left" vertical="center"/>
    </xf>
    <xf numFmtId="3" fontId="7" fillId="0" borderId="71" xfId="0" applyNumberFormat="1" applyFont="1" applyFill="1" applyBorder="1" applyAlignment="1">
      <alignment horizontal="right" vertical="center"/>
    </xf>
    <xf numFmtId="3" fontId="25" fillId="0" borderId="71" xfId="0" applyNumberFormat="1" applyFont="1" applyFill="1" applyBorder="1" applyAlignment="1">
      <alignment horizontal="right" vertical="center"/>
    </xf>
    <xf numFmtId="3" fontId="7" fillId="0" borderId="72" xfId="0" applyNumberFormat="1" applyFont="1" applyFill="1" applyBorder="1" applyAlignment="1">
      <alignment horizontal="right" vertical="center"/>
    </xf>
    <xf numFmtId="43" fontId="5" fillId="14" borderId="61" xfId="1" applyFont="1" applyFill="1" applyBorder="1" applyAlignment="1">
      <alignment horizontal="right" vertical="center"/>
    </xf>
    <xf numFmtId="164" fontId="15" fillId="4" borderId="65" xfId="2" applyNumberFormat="1" applyFont="1" applyFill="1" applyBorder="1" applyAlignment="1">
      <alignment horizontal="right" vertical="center"/>
    </xf>
    <xf numFmtId="164" fontId="22" fillId="0" borderId="65" xfId="2" applyNumberFormat="1" applyFont="1" applyFill="1" applyBorder="1" applyAlignment="1">
      <alignment horizontal="right" vertical="center"/>
    </xf>
    <xf numFmtId="3" fontId="25" fillId="0" borderId="74" xfId="2" applyNumberFormat="1" applyFont="1" applyFill="1" applyBorder="1" applyAlignment="1">
      <alignment horizontal="right" vertical="center"/>
    </xf>
    <xf numFmtId="164" fontId="25" fillId="0" borderId="71" xfId="2" applyNumberFormat="1" applyFont="1" applyFill="1" applyBorder="1" applyAlignment="1">
      <alignment horizontal="right" vertical="center"/>
    </xf>
    <xf numFmtId="164" fontId="25" fillId="0" borderId="65" xfId="2" applyNumberFormat="1" applyFont="1" applyFill="1" applyBorder="1" applyAlignment="1">
      <alignment horizontal="right" vertical="center"/>
    </xf>
    <xf numFmtId="3" fontId="15" fillId="4" borderId="65" xfId="2" applyNumberFormat="1" applyFont="1" applyFill="1" applyBorder="1" applyAlignment="1"/>
    <xf numFmtId="164" fontId="5" fillId="14" borderId="61" xfId="2" applyNumberFormat="1" applyFont="1" applyFill="1" applyBorder="1" applyAlignment="1">
      <alignment horizontal="right" vertical="center"/>
    </xf>
    <xf numFmtId="3" fontId="5" fillId="4" borderId="82" xfId="2" applyNumberFormat="1" applyFont="1" applyFill="1" applyBorder="1" applyAlignment="1">
      <alignment horizontal="right" vertical="center"/>
    </xf>
    <xf numFmtId="3" fontId="5" fillId="4" borderId="80" xfId="2" applyNumberFormat="1" applyFont="1" applyFill="1" applyBorder="1" applyAlignment="1">
      <alignment horizontal="right" vertical="center"/>
    </xf>
    <xf numFmtId="43" fontId="5" fillId="4" borderId="81" xfId="1" applyFont="1" applyFill="1" applyBorder="1" applyAlignment="1">
      <alignment horizontal="right" vertical="center"/>
    </xf>
    <xf numFmtId="165" fontId="5" fillId="4" borderId="80" xfId="2" applyNumberFormat="1" applyFont="1" applyFill="1" applyBorder="1" applyAlignment="1">
      <alignment horizontal="right" vertical="center"/>
    </xf>
    <xf numFmtId="43" fontId="5" fillId="4" borderId="80" xfId="1" applyFont="1" applyFill="1" applyBorder="1" applyAlignment="1">
      <alignment horizontal="right" vertical="center"/>
    </xf>
    <xf numFmtId="164" fontId="7" fillId="0" borderId="65" xfId="2" applyNumberFormat="1" applyFont="1" applyFill="1" applyBorder="1" applyAlignment="1">
      <alignment horizontal="right" vertical="center"/>
    </xf>
    <xf numFmtId="3" fontId="6" fillId="2" borderId="65" xfId="2" applyNumberFormat="1" applyFont="1" applyFill="1" applyBorder="1" applyAlignment="1">
      <alignment vertical="center" wrapText="1"/>
    </xf>
    <xf numFmtId="43" fontId="7" fillId="0" borderId="73" xfId="1" applyFont="1" applyFill="1" applyBorder="1" applyAlignment="1">
      <alignment horizontal="right" vertical="center"/>
    </xf>
    <xf numFmtId="3" fontId="5" fillId="4" borderId="74" xfId="2" applyNumberFormat="1" applyFont="1" applyFill="1" applyBorder="1" applyAlignment="1">
      <alignment horizontal="right" vertical="center"/>
    </xf>
    <xf numFmtId="3" fontId="6" fillId="0" borderId="74" xfId="2" applyNumberFormat="1" applyFont="1" applyFill="1" applyBorder="1" applyAlignment="1">
      <alignment horizontal="right" vertical="center"/>
    </xf>
    <xf numFmtId="3" fontId="7" fillId="0" borderId="75" xfId="2" applyNumberFormat="1" applyFont="1" applyFill="1" applyBorder="1" applyAlignment="1">
      <alignment horizontal="right" vertical="center"/>
    </xf>
    <xf numFmtId="3" fontId="5" fillId="4" borderId="66" xfId="2" applyNumberFormat="1" applyFont="1" applyFill="1" applyBorder="1" applyAlignment="1">
      <alignment horizontal="right" vertical="center"/>
    </xf>
    <xf numFmtId="164" fontId="5" fillId="4" borderId="65" xfId="2" applyNumberFormat="1" applyFont="1" applyFill="1" applyBorder="1" applyAlignment="1">
      <alignment horizontal="right" vertical="center"/>
    </xf>
    <xf numFmtId="3" fontId="6" fillId="0" borderId="66" xfId="2" applyNumberFormat="1" applyFont="1" applyFill="1" applyBorder="1" applyAlignment="1">
      <alignment horizontal="right" vertical="center"/>
    </xf>
    <xf numFmtId="164" fontId="6" fillId="0" borderId="65" xfId="2" applyNumberFormat="1" applyFont="1" applyFill="1" applyBorder="1" applyAlignment="1">
      <alignment horizontal="right" vertical="center"/>
    </xf>
    <xf numFmtId="164" fontId="7" fillId="0" borderId="71" xfId="2" applyNumberFormat="1" applyFont="1" applyFill="1" applyBorder="1" applyAlignment="1">
      <alignment horizontal="right" vertical="center"/>
    </xf>
    <xf numFmtId="3" fontId="25" fillId="0" borderId="75" xfId="2" applyNumberFormat="1" applyFont="1" applyFill="1" applyBorder="1" applyAlignment="1">
      <alignment horizontal="right" vertical="center"/>
    </xf>
    <xf numFmtId="0" fontId="35" fillId="0" borderId="0" xfId="0" applyFont="1" applyAlignment="1">
      <alignment wrapText="1"/>
    </xf>
    <xf numFmtId="0" fontId="45" fillId="0" borderId="0" xfId="0" applyFont="1"/>
    <xf numFmtId="0" fontId="45" fillId="0" borderId="0" xfId="0" applyFont="1" applyAlignment="1">
      <alignment wrapText="1"/>
    </xf>
    <xf numFmtId="0" fontId="30" fillId="0" borderId="0" xfId="0" applyFont="1" applyFill="1" applyBorder="1" applyAlignment="1"/>
    <xf numFmtId="0" fontId="9" fillId="0" borderId="0" xfId="0" applyFont="1" applyFill="1" applyBorder="1" applyAlignment="1"/>
    <xf numFmtId="0" fontId="9" fillId="2" borderId="0" xfId="0" applyFont="1" applyFill="1" applyBorder="1" applyAlignment="1">
      <alignment horizontal="right" vertical="center"/>
    </xf>
    <xf numFmtId="0" fontId="16" fillId="0" borderId="0" xfId="0" applyFont="1" applyBorder="1" applyAlignment="1"/>
    <xf numFmtId="0" fontId="14" fillId="2" borderId="0" xfId="2" applyFont="1" applyFill="1" applyBorder="1" applyAlignment="1">
      <alignment horizontal="center" vertical="center" wrapText="1"/>
    </xf>
    <xf numFmtId="0" fontId="46" fillId="0" borderId="0" xfId="2" applyFont="1" applyBorder="1" applyAlignment="1">
      <alignment horizontal="center" vertical="center" wrapText="1"/>
    </xf>
    <xf numFmtId="0" fontId="17" fillId="2" borderId="37" xfId="0" applyFont="1" applyFill="1" applyBorder="1" applyAlignment="1">
      <alignment horizontal="center" vertical="top"/>
    </xf>
    <xf numFmtId="0" fontId="17" fillId="2" borderId="105" xfId="0" quotePrefix="1" applyFont="1" applyFill="1" applyBorder="1" applyAlignment="1">
      <alignment horizontal="center" vertical="top"/>
    </xf>
    <xf numFmtId="0" fontId="17" fillId="2" borderId="47" xfId="0" quotePrefix="1" applyFont="1" applyFill="1" applyBorder="1" applyAlignment="1">
      <alignment horizontal="center" vertical="top"/>
    </xf>
    <xf numFmtId="0" fontId="17" fillId="2" borderId="37" xfId="0" quotePrefix="1" applyFont="1" applyFill="1" applyBorder="1" applyAlignment="1">
      <alignment horizontal="center" vertical="top"/>
    </xf>
    <xf numFmtId="0" fontId="17" fillId="2" borderId="38" xfId="0" quotePrefix="1" applyFont="1" applyFill="1" applyBorder="1" applyAlignment="1">
      <alignment horizontal="center" vertical="top"/>
    </xf>
    <xf numFmtId="0" fontId="17" fillId="2" borderId="0" xfId="0" quotePrefix="1" applyFont="1" applyFill="1" applyBorder="1" applyAlignment="1">
      <alignment horizontal="center" vertical="top"/>
    </xf>
    <xf numFmtId="0" fontId="35" fillId="0" borderId="96" xfId="0" applyFont="1" applyBorder="1" applyAlignment="1">
      <alignment vertical="center"/>
    </xf>
    <xf numFmtId="3" fontId="5" fillId="4" borderId="60" xfId="2" applyNumberFormat="1" applyFont="1" applyFill="1" applyBorder="1" applyAlignment="1">
      <alignment horizontal="right" vertical="center"/>
    </xf>
    <xf numFmtId="3" fontId="5" fillId="4" borderId="61" xfId="2" applyNumberFormat="1" applyFont="1" applyFill="1" applyBorder="1" applyAlignment="1">
      <alignment horizontal="right" vertical="center"/>
    </xf>
    <xf numFmtId="3" fontId="5" fillId="4" borderId="62" xfId="2" applyNumberFormat="1" applyFont="1" applyFill="1" applyBorder="1" applyAlignment="1">
      <alignment horizontal="right" vertical="center"/>
    </xf>
    <xf numFmtId="3" fontId="5" fillId="4" borderId="106" xfId="2" applyNumberFormat="1" applyFont="1" applyFill="1" applyBorder="1" applyAlignment="1">
      <alignment horizontal="right" vertical="center"/>
    </xf>
    <xf numFmtId="3" fontId="33" fillId="5" borderId="0" xfId="2" applyNumberFormat="1" applyFont="1" applyFill="1" applyBorder="1" applyAlignment="1">
      <alignment horizontal="center" vertical="top"/>
    </xf>
    <xf numFmtId="3" fontId="6" fillId="5" borderId="65" xfId="2" applyNumberFormat="1" applyFont="1" applyFill="1" applyBorder="1" applyAlignment="1">
      <alignment vertical="top" wrapText="1"/>
    </xf>
    <xf numFmtId="3" fontId="6" fillId="5" borderId="64" xfId="2" applyNumberFormat="1" applyFont="1" applyFill="1" applyBorder="1" applyAlignment="1">
      <alignment horizontal="right" vertical="center"/>
    </xf>
    <xf numFmtId="3" fontId="6" fillId="5" borderId="65" xfId="2" applyNumberFormat="1" applyFont="1" applyFill="1" applyBorder="1" applyAlignment="1">
      <alignment horizontal="right" vertical="center"/>
    </xf>
    <xf numFmtId="3" fontId="6" fillId="5" borderId="66" xfId="2" applyNumberFormat="1" applyFont="1" applyFill="1" applyBorder="1" applyAlignment="1">
      <alignment horizontal="right" vertical="center"/>
    </xf>
    <xf numFmtId="3" fontId="6" fillId="5" borderId="69" xfId="2" applyNumberFormat="1" applyFont="1" applyFill="1" applyBorder="1" applyAlignment="1">
      <alignment horizontal="right" vertical="center"/>
    </xf>
    <xf numFmtId="3" fontId="16" fillId="5" borderId="64" xfId="0" applyNumberFormat="1" applyFont="1" applyFill="1" applyBorder="1"/>
    <xf numFmtId="3" fontId="16" fillId="5" borderId="65" xfId="0" applyNumberFormat="1" applyFont="1" applyFill="1" applyBorder="1"/>
    <xf numFmtId="3" fontId="16" fillId="5" borderId="69" xfId="0" applyNumberFormat="1" applyFont="1" applyFill="1" applyBorder="1"/>
    <xf numFmtId="3" fontId="7" fillId="5" borderId="64" xfId="2" applyNumberFormat="1" applyFont="1" applyFill="1" applyBorder="1" applyAlignment="1">
      <alignment horizontal="right" vertical="center"/>
    </xf>
    <xf numFmtId="3" fontId="7" fillId="5" borderId="65" xfId="2" applyNumberFormat="1" applyFont="1" applyFill="1" applyBorder="1" applyAlignment="1">
      <alignment horizontal="right" vertical="center"/>
    </xf>
    <xf numFmtId="3" fontId="7" fillId="5" borderId="66" xfId="2" applyNumberFormat="1" applyFont="1" applyFill="1" applyBorder="1" applyAlignment="1">
      <alignment horizontal="right" vertical="center"/>
    </xf>
    <xf numFmtId="164" fontId="6" fillId="5" borderId="65" xfId="2" applyNumberFormat="1" applyFont="1" applyFill="1" applyBorder="1" applyAlignment="1">
      <alignment horizontal="right" vertical="center"/>
    </xf>
    <xf numFmtId="3" fontId="16" fillId="5" borderId="64" xfId="3" applyNumberFormat="1" applyFont="1" applyFill="1" applyBorder="1" applyAlignment="1">
      <alignment vertical="center"/>
    </xf>
    <xf numFmtId="3" fontId="16" fillId="5" borderId="69" xfId="3" applyNumberFormat="1" applyFont="1" applyFill="1" applyBorder="1" applyAlignment="1">
      <alignment vertical="center"/>
    </xf>
    <xf numFmtId="164" fontId="37" fillId="5" borderId="65" xfId="2" applyNumberFormat="1" applyFont="1" applyFill="1" applyBorder="1" applyAlignment="1">
      <alignment horizontal="right" vertical="center"/>
    </xf>
    <xf numFmtId="3" fontId="16" fillId="5" borderId="65" xfId="3" applyNumberFormat="1" applyFont="1" applyFill="1" applyBorder="1" applyAlignment="1">
      <alignment vertical="center"/>
    </xf>
    <xf numFmtId="3" fontId="5" fillId="4" borderId="69" xfId="2" applyNumberFormat="1" applyFont="1" applyFill="1" applyBorder="1" applyAlignment="1">
      <alignment horizontal="right" vertical="center"/>
    </xf>
    <xf numFmtId="3" fontId="5" fillId="4" borderId="68" xfId="2" applyNumberFormat="1" applyFont="1" applyFill="1" applyBorder="1" applyAlignment="1">
      <alignment horizontal="right" vertical="center"/>
    </xf>
    <xf numFmtId="3" fontId="43" fillId="5" borderId="64" xfId="3" applyNumberFormat="1" applyFont="1" applyFill="1" applyBorder="1" applyAlignment="1">
      <alignment vertical="center"/>
    </xf>
    <xf numFmtId="3" fontId="43" fillId="5" borderId="69" xfId="3" applyNumberFormat="1" applyFont="1" applyFill="1" applyBorder="1" applyAlignment="1">
      <alignment vertical="center"/>
    </xf>
    <xf numFmtId="3" fontId="43" fillId="5" borderId="68" xfId="3" applyNumberFormat="1" applyFont="1" applyFill="1" applyBorder="1" applyAlignment="1">
      <alignment vertical="center"/>
    </xf>
    <xf numFmtId="3" fontId="43" fillId="5" borderId="65" xfId="3" applyNumberFormat="1" applyFont="1" applyFill="1" applyBorder="1" applyAlignment="1">
      <alignment vertical="center"/>
    </xf>
    <xf numFmtId="3" fontId="16" fillId="5" borderId="68" xfId="3" applyNumberFormat="1" applyFont="1" applyFill="1" applyBorder="1" applyAlignment="1">
      <alignment vertical="center"/>
    </xf>
    <xf numFmtId="3" fontId="16" fillId="5" borderId="110" xfId="3" applyNumberFormat="1" applyFont="1" applyFill="1" applyBorder="1" applyAlignment="1">
      <alignment vertical="center"/>
    </xf>
    <xf numFmtId="3" fontId="16" fillId="5" borderId="70" xfId="3" applyNumberFormat="1" applyFont="1" applyFill="1" applyBorder="1" applyAlignment="1">
      <alignment vertical="center"/>
    </xf>
    <xf numFmtId="3" fontId="16" fillId="5" borderId="104" xfId="3" applyNumberFormat="1" applyFont="1" applyFill="1" applyBorder="1" applyAlignment="1">
      <alignment vertical="center"/>
    </xf>
    <xf numFmtId="164" fontId="37" fillId="5" borderId="71" xfId="2" applyNumberFormat="1" applyFont="1" applyFill="1" applyBorder="1" applyAlignment="1">
      <alignment horizontal="right" vertical="center"/>
    </xf>
    <xf numFmtId="3" fontId="16" fillId="5" borderId="71" xfId="3" applyNumberFormat="1" applyFont="1" applyFill="1" applyBorder="1" applyAlignment="1">
      <alignment vertical="center"/>
    </xf>
    <xf numFmtId="0" fontId="5" fillId="8" borderId="61" xfId="2" applyFont="1" applyFill="1" applyBorder="1" applyAlignment="1">
      <alignment vertical="center" wrapText="1"/>
    </xf>
    <xf numFmtId="0" fontId="34" fillId="8" borderId="62" xfId="2" applyFont="1" applyFill="1" applyBorder="1" applyAlignment="1">
      <alignment horizontal="center" vertical="top" wrapText="1"/>
    </xf>
    <xf numFmtId="3" fontId="5" fillId="8" borderId="106" xfId="2" applyNumberFormat="1" applyFont="1" applyFill="1" applyBorder="1" applyAlignment="1">
      <alignment horizontal="right" vertical="center"/>
    </xf>
    <xf numFmtId="43" fontId="5" fillId="4" borderId="69" xfId="1" applyFont="1" applyFill="1" applyBorder="1" applyAlignment="1"/>
    <xf numFmtId="43" fontId="7" fillId="0" borderId="69" xfId="1" applyFont="1" applyFill="1" applyBorder="1" applyAlignment="1">
      <alignment horizontal="right" vertical="center"/>
    </xf>
    <xf numFmtId="43" fontId="37" fillId="0" borderId="65" xfId="1" applyFont="1" applyFill="1" applyBorder="1" applyAlignment="1">
      <alignment horizontal="right" vertical="center"/>
    </xf>
    <xf numFmtId="43" fontId="43" fillId="0" borderId="69" xfId="1" applyFont="1" applyFill="1" applyBorder="1" applyAlignment="1">
      <alignment vertical="center"/>
    </xf>
    <xf numFmtId="43" fontId="7" fillId="0" borderId="104" xfId="1" applyFont="1" applyFill="1" applyBorder="1" applyAlignment="1">
      <alignment horizontal="right" vertical="center"/>
    </xf>
    <xf numFmtId="43" fontId="37" fillId="0" borderId="71" xfId="1" applyFont="1" applyFill="1" applyBorder="1" applyAlignment="1">
      <alignment horizontal="right" vertical="center"/>
    </xf>
    <xf numFmtId="0" fontId="5" fillId="14" borderId="80" xfId="2" applyFont="1" applyFill="1" applyBorder="1" applyAlignment="1">
      <alignment vertical="center" wrapText="1"/>
    </xf>
    <xf numFmtId="0" fontId="34" fillId="14" borderId="81" xfId="2" applyFont="1" applyFill="1" applyBorder="1" applyAlignment="1">
      <alignment horizontal="center" vertical="center" wrapText="1"/>
    </xf>
    <xf numFmtId="3" fontId="5" fillId="14" borderId="82" xfId="2" applyNumberFormat="1" applyFont="1" applyFill="1" applyBorder="1" applyAlignment="1">
      <alignment horizontal="right" vertical="center"/>
    </xf>
    <xf numFmtId="3" fontId="5" fillId="14" borderId="80" xfId="2" applyNumberFormat="1" applyFont="1" applyFill="1" applyBorder="1" applyAlignment="1">
      <alignment horizontal="right" vertical="center"/>
    </xf>
    <xf numFmtId="3" fontId="5" fillId="14" borderId="135" xfId="2" applyNumberFormat="1" applyFont="1" applyFill="1" applyBorder="1" applyAlignment="1">
      <alignment horizontal="right" vertical="center"/>
    </xf>
    <xf numFmtId="3" fontId="5" fillId="14" borderId="107" xfId="2" applyNumberFormat="1" applyFont="1" applyFill="1" applyBorder="1" applyAlignment="1">
      <alignment horizontal="right" vertical="center"/>
    </xf>
    <xf numFmtId="3" fontId="6" fillId="0" borderId="69" xfId="2" applyNumberFormat="1" applyFont="1" applyFill="1" applyBorder="1" applyAlignment="1">
      <alignment horizontal="right" vertical="center"/>
    </xf>
    <xf numFmtId="3" fontId="7" fillId="0" borderId="68" xfId="2" applyNumberFormat="1" applyFont="1" applyFill="1" applyBorder="1" applyAlignment="1">
      <alignment horizontal="right" vertical="center"/>
    </xf>
    <xf numFmtId="3" fontId="16" fillId="0" borderId="69" xfId="3" applyNumberFormat="1" applyFont="1" applyFill="1" applyBorder="1" applyAlignment="1">
      <alignment vertical="center"/>
    </xf>
    <xf numFmtId="164" fontId="47" fillId="0" borderId="65" xfId="2" applyNumberFormat="1" applyFont="1" applyFill="1" applyBorder="1" applyAlignment="1">
      <alignment horizontal="right" vertical="center"/>
    </xf>
    <xf numFmtId="0" fontId="7" fillId="0" borderId="102" xfId="2" applyFont="1" applyFill="1" applyBorder="1" applyAlignment="1">
      <alignment vertical="center"/>
    </xf>
    <xf numFmtId="164" fontId="37" fillId="0" borderId="102" xfId="2" applyNumberFormat="1" applyFont="1" applyFill="1" applyBorder="1" applyAlignment="1">
      <alignment horizontal="right" vertical="center"/>
    </xf>
    <xf numFmtId="43" fontId="7" fillId="0" borderId="102" xfId="1" applyFont="1" applyFill="1" applyBorder="1" applyAlignment="1">
      <alignment horizontal="right" vertical="center"/>
    </xf>
    <xf numFmtId="43" fontId="37" fillId="0" borderId="102" xfId="1" applyFont="1" applyFill="1" applyBorder="1" applyAlignment="1">
      <alignment horizontal="right" vertical="center"/>
    </xf>
    <xf numFmtId="3" fontId="15" fillId="14" borderId="61" xfId="0" applyNumberFormat="1" applyFont="1" applyFill="1" applyBorder="1" applyAlignment="1">
      <alignment horizontal="center" vertical="center" wrapText="1"/>
    </xf>
    <xf numFmtId="3" fontId="5" fillId="14" borderId="106" xfId="2" applyNumberFormat="1" applyFont="1" applyFill="1" applyBorder="1" applyAlignment="1">
      <alignment horizontal="right" vertical="center"/>
    </xf>
    <xf numFmtId="3" fontId="16" fillId="0" borderId="66" xfId="3" applyNumberFormat="1" applyFont="1" applyFill="1" applyBorder="1" applyAlignment="1">
      <alignment vertical="center"/>
    </xf>
    <xf numFmtId="164" fontId="37" fillId="0" borderId="65" xfId="2" applyNumberFormat="1" applyFont="1" applyFill="1" applyBorder="1" applyAlignment="1">
      <alignment horizontal="right" vertical="center"/>
    </xf>
    <xf numFmtId="3" fontId="7" fillId="0" borderId="66" xfId="2" applyNumberFormat="1" applyFont="1" applyFill="1" applyBorder="1" applyAlignment="1">
      <alignment horizontal="right" vertical="center"/>
    </xf>
    <xf numFmtId="3" fontId="7" fillId="0" borderId="104" xfId="2" applyNumberFormat="1" applyFont="1" applyFill="1" applyBorder="1" applyAlignment="1">
      <alignment horizontal="right" vertical="center"/>
    </xf>
    <xf numFmtId="164" fontId="37" fillId="0" borderId="71" xfId="2" applyNumberFormat="1" applyFont="1" applyFill="1" applyBorder="1" applyAlignment="1">
      <alignment horizontal="right" vertical="center"/>
    </xf>
    <xf numFmtId="43" fontId="16" fillId="0" borderId="68" xfId="1" applyFont="1" applyFill="1" applyBorder="1" applyAlignment="1">
      <alignment vertical="center"/>
    </xf>
    <xf numFmtId="43" fontId="25" fillId="0" borderId="72" xfId="1" applyFont="1" applyFill="1" applyBorder="1" applyAlignment="1">
      <alignment horizontal="right" vertical="center"/>
    </xf>
    <xf numFmtId="3" fontId="34" fillId="5" borderId="0" xfId="2" applyNumberFormat="1" applyFont="1" applyFill="1" applyBorder="1" applyAlignment="1">
      <alignment horizontal="center" vertical="top"/>
    </xf>
    <xf numFmtId="3" fontId="6" fillId="2" borderId="67" xfId="2" applyNumberFormat="1" applyFont="1" applyFill="1" applyBorder="1" applyAlignment="1">
      <alignment vertical="top" wrapText="1"/>
    </xf>
    <xf numFmtId="3" fontId="43" fillId="0" borderId="82" xfId="3" applyNumberFormat="1" applyFont="1" applyFill="1" applyBorder="1" applyAlignment="1">
      <alignment vertical="center"/>
    </xf>
    <xf numFmtId="3" fontId="22" fillId="0" borderId="81" xfId="2" applyNumberFormat="1" applyFont="1" applyFill="1" applyBorder="1" applyAlignment="1">
      <alignment horizontal="right" vertical="center"/>
    </xf>
    <xf numFmtId="3" fontId="43" fillId="0" borderId="107" xfId="3" applyNumberFormat="1" applyFont="1" applyFill="1" applyBorder="1" applyAlignment="1">
      <alignment vertical="center"/>
    </xf>
    <xf numFmtId="3" fontId="41" fillId="5" borderId="0" xfId="2" applyNumberFormat="1" applyFont="1" applyFill="1" applyBorder="1" applyAlignment="1">
      <alignment horizontal="center" vertical="top"/>
    </xf>
    <xf numFmtId="0" fontId="43" fillId="0" borderId="0" xfId="0" applyFont="1"/>
    <xf numFmtId="0" fontId="7" fillId="0" borderId="67" xfId="2" applyFont="1" applyFill="1" applyBorder="1" applyAlignment="1">
      <alignment vertical="top"/>
    </xf>
    <xf numFmtId="3" fontId="7" fillId="0" borderId="80" xfId="2" applyNumberFormat="1" applyFont="1" applyFill="1" applyBorder="1" applyAlignment="1">
      <alignment horizontal="right" vertical="center"/>
    </xf>
    <xf numFmtId="3" fontId="25" fillId="0" borderId="80" xfId="2" applyNumberFormat="1" applyFont="1" applyFill="1" applyBorder="1" applyAlignment="1">
      <alignment horizontal="right" vertical="center"/>
    </xf>
    <xf numFmtId="3" fontId="16" fillId="0" borderId="82" xfId="3" applyNumberFormat="1" applyFont="1" applyFill="1" applyBorder="1" applyAlignment="1">
      <alignment vertical="center"/>
    </xf>
    <xf numFmtId="3" fontId="25" fillId="0" borderId="81" xfId="2" applyNumberFormat="1" applyFont="1" applyFill="1" applyBorder="1" applyAlignment="1">
      <alignment horizontal="right" vertical="center"/>
    </xf>
    <xf numFmtId="3" fontId="16" fillId="0" borderId="107" xfId="3" applyNumberFormat="1" applyFont="1" applyFill="1" applyBorder="1" applyAlignment="1">
      <alignment vertical="center"/>
    </xf>
    <xf numFmtId="0" fontId="6" fillId="2" borderId="67" xfId="2" applyFont="1" applyFill="1" applyBorder="1" applyAlignment="1">
      <alignment vertical="top"/>
    </xf>
    <xf numFmtId="0" fontId="5" fillId="4" borderId="67" xfId="2" applyFont="1" applyFill="1" applyBorder="1" applyAlignment="1">
      <alignment horizontal="left" vertical="center"/>
    </xf>
    <xf numFmtId="0" fontId="7" fillId="0" borderId="73" xfId="2" applyFont="1" applyFill="1" applyBorder="1" applyAlignment="1">
      <alignment vertical="center"/>
    </xf>
    <xf numFmtId="3" fontId="16" fillId="0" borderId="13" xfId="3" applyNumberFormat="1" applyFont="1" applyFill="1" applyBorder="1" applyAlignment="1">
      <alignment vertical="center"/>
    </xf>
    <xf numFmtId="3" fontId="7" fillId="0" borderId="15" xfId="2" applyNumberFormat="1" applyFont="1" applyFill="1" applyBorder="1" applyAlignment="1">
      <alignment horizontal="right" vertical="center"/>
    </xf>
    <xf numFmtId="3" fontId="25" fillId="0" borderId="15" xfId="2" applyNumberFormat="1" applyFont="1" applyFill="1" applyBorder="1" applyAlignment="1">
      <alignment horizontal="right" vertical="center"/>
    </xf>
    <xf numFmtId="3" fontId="6" fillId="0" borderId="65" xfId="2" applyNumberFormat="1" applyFont="1" applyFill="1" applyBorder="1" applyAlignment="1">
      <alignment vertical="top" wrapText="1"/>
    </xf>
    <xf numFmtId="0" fontId="6" fillId="0" borderId="65" xfId="2" applyFont="1" applyFill="1" applyBorder="1" applyAlignment="1">
      <alignment vertical="top"/>
    </xf>
    <xf numFmtId="3" fontId="25" fillId="0" borderId="72" xfId="2" applyNumberFormat="1" applyFont="1" applyFill="1" applyBorder="1" applyAlignment="1">
      <alignment horizontal="right" vertical="center"/>
    </xf>
    <xf numFmtId="3" fontId="37" fillId="0" borderId="69" xfId="2" applyNumberFormat="1" applyFont="1" applyFill="1" applyBorder="1" applyAlignment="1">
      <alignment horizontal="right" vertical="center"/>
    </xf>
    <xf numFmtId="164" fontId="47" fillId="0" borderId="71" xfId="2" applyNumberFormat="1" applyFont="1" applyFill="1" applyBorder="1" applyAlignment="1">
      <alignment horizontal="right" vertical="center"/>
    </xf>
    <xf numFmtId="43" fontId="47" fillId="0" borderId="71" xfId="1" applyFont="1" applyFill="1" applyBorder="1" applyAlignment="1">
      <alignment horizontal="right" vertical="center"/>
    </xf>
    <xf numFmtId="43" fontId="25" fillId="4" borderId="66" xfId="1" applyFont="1" applyFill="1" applyBorder="1" applyAlignment="1">
      <alignment horizontal="right" vertical="center"/>
    </xf>
    <xf numFmtId="43" fontId="7" fillId="4" borderId="66" xfId="1" applyFont="1" applyFill="1" applyBorder="1" applyAlignment="1"/>
    <xf numFmtId="3" fontId="15" fillId="0" borderId="65" xfId="2" applyNumberFormat="1" applyFont="1" applyFill="1" applyBorder="1" applyAlignment="1">
      <alignment horizontal="right" vertical="center"/>
    </xf>
    <xf numFmtId="3" fontId="5" fillId="14" borderId="109" xfId="2" applyNumberFormat="1" applyFont="1" applyFill="1" applyBorder="1" applyAlignment="1">
      <alignment horizontal="right" vertical="center"/>
    </xf>
    <xf numFmtId="3" fontId="43" fillId="0" borderId="74" xfId="3" applyNumberFormat="1" applyFont="1" applyFill="1" applyBorder="1" applyAlignment="1">
      <alignment vertical="center"/>
    </xf>
    <xf numFmtId="3" fontId="43" fillId="0" borderId="110" xfId="3" applyNumberFormat="1" applyFont="1" applyFill="1" applyBorder="1" applyAlignment="1">
      <alignment vertical="center"/>
    </xf>
    <xf numFmtId="0" fontId="16" fillId="0" borderId="10" xfId="0" applyFont="1" applyBorder="1"/>
    <xf numFmtId="3" fontId="16" fillId="0" borderId="110" xfId="3" applyNumberFormat="1" applyFont="1" applyFill="1" applyBorder="1" applyAlignment="1">
      <alignment vertical="center"/>
    </xf>
    <xf numFmtId="0" fontId="16" fillId="0" borderId="9" xfId="0" applyFont="1" applyBorder="1"/>
    <xf numFmtId="0" fontId="16" fillId="0" borderId="11" xfId="0" applyFont="1" applyBorder="1"/>
    <xf numFmtId="3" fontId="16" fillId="0" borderId="111" xfId="3" applyNumberFormat="1" applyFont="1" applyFill="1" applyBorder="1" applyAlignment="1">
      <alignment vertical="center"/>
    </xf>
    <xf numFmtId="3" fontId="16" fillId="0" borderId="104" xfId="3" applyNumberFormat="1" applyFont="1" applyFill="1" applyBorder="1" applyAlignment="1">
      <alignment vertical="center"/>
    </xf>
    <xf numFmtId="3" fontId="5" fillId="14" borderId="112" xfId="2" applyNumberFormat="1" applyFont="1" applyFill="1" applyBorder="1" applyAlignment="1">
      <alignment horizontal="right" vertical="center"/>
    </xf>
    <xf numFmtId="164" fontId="5" fillId="4" borderId="80" xfId="2" applyNumberFormat="1" applyFont="1" applyFill="1" applyBorder="1" applyAlignment="1">
      <alignment horizontal="right" vertical="center"/>
    </xf>
    <xf numFmtId="0" fontId="5" fillId="0" borderId="0" xfId="0" applyFont="1" applyBorder="1" applyAlignment="1">
      <alignment vertical="top"/>
    </xf>
    <xf numFmtId="0" fontId="16" fillId="0" borderId="0" xfId="0" applyFont="1" applyAlignment="1">
      <alignment vertical="top"/>
    </xf>
    <xf numFmtId="0" fontId="35" fillId="0" borderId="0" xfId="0" applyFont="1" applyAlignment="1">
      <alignment vertical="top"/>
    </xf>
    <xf numFmtId="0" fontId="16" fillId="0" borderId="0" xfId="0" applyFont="1" applyBorder="1" applyAlignment="1">
      <alignment vertical="top"/>
    </xf>
    <xf numFmtId="0" fontId="16" fillId="0" borderId="0" xfId="0" applyFont="1" applyFill="1" applyBorder="1" applyAlignment="1">
      <alignment vertical="top"/>
    </xf>
    <xf numFmtId="0" fontId="35" fillId="0" borderId="0" xfId="0" applyFont="1" applyBorder="1" applyAlignment="1">
      <alignment vertical="top"/>
    </xf>
    <xf numFmtId="0" fontId="31" fillId="0" borderId="0" xfId="0" applyFont="1" applyFill="1" applyBorder="1" applyAlignment="1">
      <alignment horizontal="left"/>
    </xf>
    <xf numFmtId="0" fontId="48" fillId="0" borderId="0" xfId="0" applyFont="1" applyFill="1" applyBorder="1" applyAlignment="1">
      <alignment vertical="top"/>
    </xf>
    <xf numFmtId="0" fontId="17" fillId="22" borderId="40" xfId="0" quotePrefix="1" applyFont="1" applyFill="1" applyBorder="1" applyAlignment="1">
      <alignment horizontal="center" vertical="top"/>
    </xf>
    <xf numFmtId="0" fontId="17" fillId="0" borderId="0" xfId="0" applyFont="1" applyFill="1" applyBorder="1" applyAlignment="1">
      <alignment vertical="top"/>
    </xf>
    <xf numFmtId="3" fontId="17" fillId="0" borderId="0" xfId="0" applyNumberFormat="1" applyFont="1" applyFill="1" applyBorder="1" applyAlignment="1">
      <alignment vertical="top"/>
    </xf>
    <xf numFmtId="3" fontId="22" fillId="22" borderId="116" xfId="0" quotePrefix="1" applyNumberFormat="1" applyFont="1" applyFill="1" applyBorder="1" applyAlignment="1">
      <alignment vertical="center"/>
    </xf>
    <xf numFmtId="3" fontId="23" fillId="2" borderId="116" xfId="0" quotePrefix="1" applyNumberFormat="1" applyFont="1" applyFill="1" applyBorder="1" applyAlignment="1">
      <alignment vertical="center"/>
    </xf>
    <xf numFmtId="0" fontId="16" fillId="0" borderId="96" xfId="0" applyFont="1" applyBorder="1"/>
    <xf numFmtId="3" fontId="22" fillId="22" borderId="119" xfId="0" quotePrefix="1" applyNumberFormat="1" applyFont="1" applyFill="1" applyBorder="1" applyAlignment="1">
      <alignment vertical="center"/>
    </xf>
    <xf numFmtId="3" fontId="23" fillId="2" borderId="119" xfId="0" quotePrefix="1" applyNumberFormat="1" applyFont="1" applyFill="1" applyBorder="1" applyAlignment="1">
      <alignment vertical="center"/>
    </xf>
    <xf numFmtId="0" fontId="16" fillId="0" borderId="96" xfId="0" applyFont="1" applyBorder="1" applyAlignment="1">
      <alignment vertical="center"/>
    </xf>
    <xf numFmtId="3" fontId="22" fillId="2" borderId="49" xfId="0" quotePrefix="1" applyNumberFormat="1" applyFont="1" applyFill="1" applyBorder="1" applyAlignment="1">
      <alignment vertical="top"/>
    </xf>
    <xf numFmtId="3" fontId="22" fillId="2" borderId="17" xfId="0" quotePrefix="1" applyNumberFormat="1" applyFont="1" applyFill="1" applyBorder="1" applyAlignment="1">
      <alignment vertical="top"/>
    </xf>
    <xf numFmtId="3" fontId="22" fillId="2" borderId="33" xfId="0" quotePrefix="1" applyNumberFormat="1" applyFont="1" applyFill="1" applyBorder="1" applyAlignment="1">
      <alignment vertical="top"/>
    </xf>
    <xf numFmtId="3" fontId="22" fillId="22" borderId="15" xfId="0" quotePrefix="1" applyNumberFormat="1" applyFont="1" applyFill="1" applyBorder="1" applyAlignment="1">
      <alignment vertical="top"/>
    </xf>
    <xf numFmtId="3" fontId="23" fillId="2" borderId="119" xfId="0" quotePrefix="1" applyNumberFormat="1" applyFont="1" applyFill="1" applyBorder="1" applyAlignment="1">
      <alignment vertical="top"/>
    </xf>
    <xf numFmtId="0" fontId="15" fillId="4" borderId="22" xfId="2" applyFont="1" applyFill="1" applyBorder="1" applyAlignment="1">
      <alignment horizontal="left" vertical="center"/>
    </xf>
    <xf numFmtId="0" fontId="20" fillId="4" borderId="84" xfId="2" applyFont="1" applyFill="1" applyBorder="1" applyAlignment="1">
      <alignment horizontal="left" vertical="center"/>
    </xf>
    <xf numFmtId="3" fontId="15" fillId="4" borderId="109" xfId="0" applyNumberFormat="1" applyFont="1" applyFill="1" applyBorder="1" applyAlignment="1">
      <alignment vertical="center"/>
    </xf>
    <xf numFmtId="3" fontId="15" fillId="4" borderId="63" xfId="0" applyNumberFormat="1" applyFont="1" applyFill="1" applyBorder="1" applyAlignment="1">
      <alignment vertical="center"/>
    </xf>
    <xf numFmtId="3" fontId="15" fillId="4" borderId="36" xfId="0" applyNumberFormat="1" applyFont="1" applyFill="1" applyBorder="1" applyAlignment="1">
      <alignment vertical="center"/>
    </xf>
    <xf numFmtId="3" fontId="15" fillId="4" borderId="62" xfId="0" applyNumberFormat="1" applyFont="1" applyFill="1" applyBorder="1" applyAlignment="1">
      <alignment vertical="center"/>
    </xf>
    <xf numFmtId="3" fontId="15" fillId="4" borderId="19" xfId="0" applyNumberFormat="1" applyFont="1" applyFill="1" applyBorder="1" applyAlignment="1">
      <alignment vertical="center"/>
    </xf>
    <xf numFmtId="3" fontId="15" fillId="4" borderId="61" xfId="0" applyNumberFormat="1" applyFont="1" applyFill="1" applyBorder="1" applyAlignment="1">
      <alignment vertical="center"/>
    </xf>
    <xf numFmtId="3" fontId="20" fillId="4" borderId="61" xfId="0" applyNumberFormat="1" applyFont="1" applyFill="1" applyBorder="1" applyAlignment="1">
      <alignment vertical="center"/>
    </xf>
    <xf numFmtId="0" fontId="22" fillId="5" borderId="65" xfId="2" applyFont="1" applyFill="1" applyBorder="1" applyAlignment="1">
      <alignment vertical="center"/>
    </xf>
    <xf numFmtId="3" fontId="15" fillId="5" borderId="74" xfId="0" applyNumberFormat="1" applyFont="1" applyFill="1" applyBorder="1" applyAlignment="1">
      <alignment vertical="center"/>
    </xf>
    <xf numFmtId="3" fontId="15" fillId="5" borderId="67" xfId="0" applyNumberFormat="1" applyFont="1" applyFill="1" applyBorder="1" applyAlignment="1">
      <alignment vertical="center"/>
    </xf>
    <xf numFmtId="3" fontId="15" fillId="5" borderId="66" xfId="0" applyNumberFormat="1" applyFont="1" applyFill="1" applyBorder="1" applyAlignment="1">
      <alignment vertical="center"/>
    </xf>
    <xf numFmtId="3" fontId="15" fillId="5" borderId="64" xfId="0" applyNumberFormat="1" applyFont="1" applyFill="1" applyBorder="1" applyAlignment="1">
      <alignment vertical="center"/>
    </xf>
    <xf numFmtId="3" fontId="15" fillId="5" borderId="65" xfId="0" applyNumberFormat="1" applyFont="1" applyFill="1" applyBorder="1" applyAlignment="1">
      <alignment vertical="center"/>
    </xf>
    <xf numFmtId="3" fontId="20" fillId="5" borderId="65" xfId="0" applyNumberFormat="1" applyFont="1" applyFill="1" applyBorder="1" applyAlignment="1">
      <alignment vertical="center"/>
    </xf>
    <xf numFmtId="0" fontId="29" fillId="0" borderId="0" xfId="0" applyFont="1" applyFill="1" applyBorder="1" applyAlignment="1">
      <alignment vertical="center"/>
    </xf>
    <xf numFmtId="3" fontId="29" fillId="0" borderId="0" xfId="0" applyNumberFormat="1" applyFont="1" applyFill="1" applyBorder="1" applyAlignment="1">
      <alignment vertical="center"/>
    </xf>
    <xf numFmtId="0" fontId="25" fillId="5" borderId="65" xfId="2" applyFont="1" applyFill="1" applyBorder="1" applyAlignment="1">
      <alignment vertical="center"/>
    </xf>
    <xf numFmtId="3" fontId="25" fillId="5" borderId="91" xfId="0" applyNumberFormat="1" applyFont="1" applyFill="1" applyBorder="1" applyAlignment="1">
      <alignment vertical="center"/>
    </xf>
    <xf numFmtId="3" fontId="25" fillId="5" borderId="83" xfId="0" applyNumberFormat="1" applyFont="1" applyFill="1" applyBorder="1" applyAlignment="1">
      <alignment vertical="center"/>
    </xf>
    <xf numFmtId="3" fontId="25" fillId="5" borderId="81" xfId="0" applyNumberFormat="1" applyFont="1" applyFill="1" applyBorder="1" applyAlignment="1">
      <alignment vertical="center"/>
    </xf>
    <xf numFmtId="3" fontId="25" fillId="5" borderId="82" xfId="0" applyNumberFormat="1" applyFont="1" applyFill="1" applyBorder="1" applyAlignment="1">
      <alignment vertical="center"/>
    </xf>
    <xf numFmtId="3" fontId="25" fillId="5" borderId="80" xfId="0" applyNumberFormat="1" applyFont="1" applyFill="1" applyBorder="1" applyAlignment="1">
      <alignment vertical="center"/>
    </xf>
    <xf numFmtId="3" fontId="29" fillId="5" borderId="80" xfId="0" applyNumberFormat="1" applyFont="1" applyFill="1" applyBorder="1" applyAlignment="1">
      <alignment vertical="top"/>
    </xf>
    <xf numFmtId="0" fontId="25" fillId="5" borderId="65" xfId="0" applyFont="1" applyFill="1" applyBorder="1" applyAlignment="1">
      <alignment vertical="top"/>
    </xf>
    <xf numFmtId="3" fontId="25" fillId="5" borderId="50" xfId="0" applyNumberFormat="1" applyFont="1" applyFill="1" applyBorder="1" applyAlignment="1">
      <alignment vertical="top"/>
    </xf>
    <xf numFmtId="3" fontId="25" fillId="5" borderId="12" xfId="0" applyNumberFormat="1" applyFont="1" applyFill="1" applyBorder="1" applyAlignment="1">
      <alignment vertical="top"/>
    </xf>
    <xf numFmtId="3" fontId="25" fillId="5" borderId="8" xfId="0" applyNumberFormat="1" applyFont="1" applyFill="1" applyBorder="1" applyAlignment="1">
      <alignment vertical="top"/>
    </xf>
    <xf numFmtId="3" fontId="25" fillId="5" borderId="9" xfId="0" applyNumberFormat="1" applyFont="1" applyFill="1" applyBorder="1" applyAlignment="1">
      <alignment vertical="top"/>
    </xf>
    <xf numFmtId="3" fontId="25" fillId="5" borderId="10" xfId="0" applyNumberFormat="1" applyFont="1" applyFill="1" applyBorder="1" applyAlignment="1">
      <alignment vertical="top"/>
    </xf>
    <xf numFmtId="0" fontId="25" fillId="5" borderId="10" xfId="0" applyFont="1" applyFill="1" applyBorder="1" applyAlignment="1">
      <alignment vertical="top"/>
    </xf>
    <xf numFmtId="3" fontId="25" fillId="5" borderId="125" xfId="0" applyNumberFormat="1" applyFont="1" applyFill="1" applyBorder="1" applyAlignment="1">
      <alignment vertical="top"/>
    </xf>
    <xf numFmtId="3" fontId="25" fillId="5" borderId="99" xfId="0" applyNumberFormat="1" applyFont="1" applyFill="1" applyBorder="1" applyAlignment="1">
      <alignment vertical="top"/>
    </xf>
    <xf numFmtId="3" fontId="25" fillId="5" borderId="103" xfId="0" applyNumberFormat="1" applyFont="1" applyFill="1" applyBorder="1" applyAlignment="1">
      <alignment vertical="top"/>
    </xf>
    <xf numFmtId="3" fontId="25" fillId="5" borderId="101" xfId="0" applyNumberFormat="1" applyFont="1" applyFill="1" applyBorder="1" applyAlignment="1">
      <alignment vertical="top"/>
    </xf>
    <xf numFmtId="164" fontId="25" fillId="5" borderId="12" xfId="0" applyNumberFormat="1" applyFont="1" applyFill="1" applyBorder="1" applyAlignment="1">
      <alignment vertical="top"/>
    </xf>
    <xf numFmtId="3" fontId="25" fillId="5" borderId="102" xfId="0" applyNumberFormat="1" applyFont="1" applyFill="1" applyBorder="1" applyAlignment="1">
      <alignment vertical="top"/>
    </xf>
    <xf numFmtId="3" fontId="29" fillId="5" borderId="65" xfId="0" applyNumberFormat="1" applyFont="1" applyFill="1" applyBorder="1" applyAlignment="1">
      <alignment vertical="top"/>
    </xf>
    <xf numFmtId="0" fontId="25" fillId="5" borderId="102" xfId="0" applyFont="1" applyFill="1" applyBorder="1" applyAlignment="1">
      <alignment vertical="top" wrapText="1"/>
    </xf>
    <xf numFmtId="3" fontId="25" fillId="5" borderId="67" xfId="0" applyNumberFormat="1" applyFont="1" applyFill="1" applyBorder="1" applyAlignment="1">
      <alignment vertical="top"/>
    </xf>
    <xf numFmtId="3" fontId="25" fillId="5" borderId="64" xfId="0" applyNumberFormat="1" applyFont="1" applyFill="1" applyBorder="1" applyAlignment="1">
      <alignment vertical="top"/>
    </xf>
    <xf numFmtId="164" fontId="25" fillId="5" borderId="67" xfId="0" applyNumberFormat="1" applyFont="1" applyFill="1" applyBorder="1" applyAlignment="1">
      <alignment vertical="top"/>
    </xf>
    <xf numFmtId="3" fontId="25" fillId="5" borderId="65" xfId="0" applyNumberFormat="1" applyFont="1" applyFill="1" applyBorder="1" applyAlignment="1">
      <alignment vertical="top"/>
    </xf>
    <xf numFmtId="3" fontId="15" fillId="5" borderId="125" xfId="0" applyNumberFormat="1" applyFont="1" applyFill="1" applyBorder="1" applyAlignment="1">
      <alignment vertical="center"/>
    </xf>
    <xf numFmtId="3" fontId="15" fillId="5" borderId="103" xfId="0" applyNumberFormat="1" applyFont="1" applyFill="1" applyBorder="1" applyAlignment="1">
      <alignment vertical="center"/>
    </xf>
    <xf numFmtId="164" fontId="15" fillId="5" borderId="67" xfId="0" applyNumberFormat="1" applyFont="1" applyFill="1" applyBorder="1" applyAlignment="1">
      <alignment vertical="center"/>
    </xf>
    <xf numFmtId="0" fontId="25" fillId="5" borderId="65" xfId="2" applyFont="1" applyFill="1" applyBorder="1" applyAlignment="1">
      <alignment vertical="top" wrapText="1"/>
    </xf>
    <xf numFmtId="0" fontId="20" fillId="4" borderId="103" xfId="2" applyFont="1" applyFill="1" applyBorder="1" applyAlignment="1">
      <alignment horizontal="left" vertical="center"/>
    </xf>
    <xf numFmtId="3" fontId="15" fillId="4" borderId="125" xfId="0" applyNumberFormat="1" applyFont="1" applyFill="1" applyBorder="1" applyAlignment="1">
      <alignment vertical="top"/>
    </xf>
    <xf numFmtId="3" fontId="15" fillId="4" borderId="67" xfId="0" applyNumberFormat="1" applyFont="1" applyFill="1" applyBorder="1" applyAlignment="1">
      <alignment vertical="top"/>
    </xf>
    <xf numFmtId="3" fontId="15" fillId="4" borderId="12" xfId="0" applyNumberFormat="1" applyFont="1" applyFill="1" applyBorder="1" applyAlignment="1">
      <alignment vertical="top"/>
    </xf>
    <xf numFmtId="3" fontId="15" fillId="4" borderId="66" xfId="0" applyNumberFormat="1" applyFont="1" applyFill="1" applyBorder="1" applyAlignment="1">
      <alignment vertical="top"/>
    </xf>
    <xf numFmtId="3" fontId="15" fillId="4" borderId="82" xfId="0" applyNumberFormat="1" applyFont="1" applyFill="1" applyBorder="1" applyAlignment="1">
      <alignment vertical="top"/>
    </xf>
    <xf numFmtId="164" fontId="15" fillId="4" borderId="67" xfId="0" applyNumberFormat="1" applyFont="1" applyFill="1" applyBorder="1" applyAlignment="1">
      <alignment vertical="top"/>
    </xf>
    <xf numFmtId="3" fontId="15" fillId="4" borderId="65" xfId="0" applyNumberFormat="1" applyFont="1" applyFill="1" applyBorder="1" applyAlignment="1">
      <alignment vertical="top"/>
    </xf>
    <xf numFmtId="3" fontId="20" fillId="4" borderId="65" xfId="0" applyNumberFormat="1" applyFont="1" applyFill="1" applyBorder="1" applyAlignment="1">
      <alignment vertical="top"/>
    </xf>
    <xf numFmtId="0" fontId="22" fillId="16" borderId="10" xfId="2" applyFont="1" applyFill="1" applyBorder="1" applyAlignment="1">
      <alignment vertical="center"/>
    </xf>
    <xf numFmtId="3" fontId="15" fillId="16" borderId="125" xfId="0" applyNumberFormat="1" applyFont="1" applyFill="1" applyBorder="1" applyAlignment="1">
      <alignment vertical="center"/>
    </xf>
    <xf numFmtId="3" fontId="15" fillId="16" borderId="67" xfId="0" applyNumberFormat="1" applyFont="1" applyFill="1" applyBorder="1" applyAlignment="1">
      <alignment vertical="center"/>
    </xf>
    <xf numFmtId="3" fontId="15" fillId="16" borderId="66" xfId="0" applyNumberFormat="1" applyFont="1" applyFill="1" applyBorder="1" applyAlignment="1">
      <alignment vertical="center"/>
    </xf>
    <xf numFmtId="3" fontId="15" fillId="16" borderId="82" xfId="0" applyNumberFormat="1" applyFont="1" applyFill="1" applyBorder="1" applyAlignment="1">
      <alignment vertical="center"/>
    </xf>
    <xf numFmtId="164" fontId="15" fillId="16" borderId="12" xfId="0" applyNumberFormat="1" applyFont="1" applyFill="1" applyBorder="1" applyAlignment="1">
      <alignment vertical="center"/>
    </xf>
    <xf numFmtId="3" fontId="15" fillId="16" borderId="65" xfId="0" applyNumberFormat="1" applyFont="1" applyFill="1" applyBorder="1" applyAlignment="1">
      <alignment vertical="center"/>
    </xf>
    <xf numFmtId="3" fontId="20" fillId="16" borderId="65" xfId="0" applyNumberFormat="1" applyFont="1" applyFill="1" applyBorder="1" applyAlignment="1">
      <alignment vertical="center"/>
    </xf>
    <xf numFmtId="0" fontId="25" fillId="16" borderId="102" xfId="0" applyFont="1" applyFill="1" applyBorder="1" applyAlignment="1">
      <alignment vertical="top" wrapText="1"/>
    </xf>
    <xf numFmtId="3" fontId="25" fillId="16" borderId="125" xfId="0" applyNumberFormat="1" applyFont="1" applyFill="1" applyBorder="1" applyAlignment="1">
      <alignment vertical="top"/>
    </xf>
    <xf numFmtId="3" fontId="25" fillId="16" borderId="67" xfId="0" applyNumberFormat="1" applyFont="1" applyFill="1" applyBorder="1" applyAlignment="1">
      <alignment vertical="top"/>
    </xf>
    <xf numFmtId="3" fontId="25" fillId="16" borderId="83" xfId="0" applyNumberFormat="1" applyFont="1" applyFill="1" applyBorder="1" applyAlignment="1">
      <alignment vertical="top"/>
    </xf>
    <xf numFmtId="3" fontId="25" fillId="16" borderId="8" xfId="0" applyNumberFormat="1" applyFont="1" applyFill="1" applyBorder="1" applyAlignment="1">
      <alignment vertical="top"/>
    </xf>
    <xf numFmtId="3" fontId="25" fillId="16" borderId="9" xfId="0" applyNumberFormat="1" applyFont="1" applyFill="1" applyBorder="1" applyAlignment="1">
      <alignment vertical="top"/>
    </xf>
    <xf numFmtId="164" fontId="25" fillId="16" borderId="67" xfId="0" applyNumberFormat="1" applyFont="1" applyFill="1" applyBorder="1" applyAlignment="1">
      <alignment vertical="top"/>
    </xf>
    <xf numFmtId="3" fontId="25" fillId="16" borderId="10" xfId="0" applyNumberFormat="1" applyFont="1" applyFill="1" applyBorder="1" applyAlignment="1">
      <alignment vertical="top"/>
    </xf>
    <xf numFmtId="3" fontId="29" fillId="16" borderId="65" xfId="0" applyNumberFormat="1" applyFont="1" applyFill="1" applyBorder="1" applyAlignment="1">
      <alignment vertical="top"/>
    </xf>
    <xf numFmtId="0" fontId="25" fillId="16" borderId="65" xfId="0" applyFont="1" applyFill="1" applyBorder="1" applyAlignment="1">
      <alignment vertical="top"/>
    </xf>
    <xf numFmtId="3" fontId="25" fillId="16" borderId="74" xfId="0" applyNumberFormat="1" applyFont="1" applyFill="1" applyBorder="1" applyAlignment="1">
      <alignment vertical="top"/>
    </xf>
    <xf numFmtId="3" fontId="25" fillId="16" borderId="12" xfId="0" applyNumberFormat="1" applyFont="1" applyFill="1" applyBorder="1" applyAlignment="1">
      <alignment vertical="top"/>
    </xf>
    <xf numFmtId="3" fontId="25" fillId="16" borderId="103" xfId="0" applyNumberFormat="1" applyFont="1" applyFill="1" applyBorder="1" applyAlignment="1">
      <alignment vertical="top"/>
    </xf>
    <xf numFmtId="3" fontId="25" fillId="16" borderId="64" xfId="0" applyNumberFormat="1" applyFont="1" applyFill="1" applyBorder="1" applyAlignment="1">
      <alignment vertical="top"/>
    </xf>
    <xf numFmtId="3" fontId="25" fillId="16" borderId="65" xfId="0" applyNumberFormat="1" applyFont="1" applyFill="1" applyBorder="1" applyAlignment="1">
      <alignment vertical="top"/>
    </xf>
    <xf numFmtId="3" fontId="22" fillId="16" borderId="74" xfId="0" applyNumberFormat="1" applyFont="1" applyFill="1" applyBorder="1" applyAlignment="1">
      <alignment vertical="top"/>
    </xf>
    <xf numFmtId="3" fontId="22" fillId="16" borderId="67" xfId="0" applyNumberFormat="1" applyFont="1" applyFill="1" applyBorder="1" applyAlignment="1">
      <alignment vertical="top"/>
    </xf>
    <xf numFmtId="3" fontId="22" fillId="16" borderId="66" xfId="0" applyNumberFormat="1" applyFont="1" applyFill="1" applyBorder="1" applyAlignment="1">
      <alignment vertical="top"/>
    </xf>
    <xf numFmtId="3" fontId="22" fillId="16" borderId="64" xfId="0" applyNumberFormat="1" applyFont="1" applyFill="1" applyBorder="1" applyAlignment="1">
      <alignment vertical="top"/>
    </xf>
    <xf numFmtId="164" fontId="22" fillId="16" borderId="67" xfId="0" applyNumberFormat="1" applyFont="1" applyFill="1" applyBorder="1" applyAlignment="1">
      <alignment vertical="top"/>
    </xf>
    <xf numFmtId="3" fontId="22" fillId="16" borderId="65" xfId="0" applyNumberFormat="1" applyFont="1" applyFill="1" applyBorder="1" applyAlignment="1">
      <alignment vertical="top"/>
    </xf>
    <xf numFmtId="3" fontId="30" fillId="16" borderId="65" xfId="0" applyNumberFormat="1" applyFont="1" applyFill="1" applyBorder="1" applyAlignment="1">
      <alignment vertical="top"/>
    </xf>
    <xf numFmtId="0" fontId="25" fillId="16" borderId="71" xfId="2" applyFont="1" applyFill="1" applyBorder="1" applyAlignment="1">
      <alignment vertical="top" wrapText="1"/>
    </xf>
    <xf numFmtId="3" fontId="25" fillId="16" borderId="49" xfId="0" applyNumberFormat="1" applyFont="1" applyFill="1" applyBorder="1" applyAlignment="1">
      <alignment vertical="top"/>
    </xf>
    <xf numFmtId="3" fontId="25" fillId="16" borderId="17" xfId="0" applyNumberFormat="1" applyFont="1" applyFill="1" applyBorder="1" applyAlignment="1">
      <alignment vertical="top"/>
    </xf>
    <xf numFmtId="3" fontId="25" fillId="16" borderId="33" xfId="0" applyNumberFormat="1" applyFont="1" applyFill="1" applyBorder="1" applyAlignment="1">
      <alignment vertical="top"/>
    </xf>
    <xf numFmtId="3" fontId="25" fillId="16" borderId="13" xfId="0" applyNumberFormat="1" applyFont="1" applyFill="1" applyBorder="1" applyAlignment="1">
      <alignment vertical="top"/>
    </xf>
    <xf numFmtId="164" fontId="25" fillId="16" borderId="17" xfId="0" applyNumberFormat="1" applyFont="1" applyFill="1" applyBorder="1" applyAlignment="1">
      <alignment vertical="top"/>
    </xf>
    <xf numFmtId="3" fontId="25" fillId="16" borderId="15" xfId="0" applyNumberFormat="1" applyFont="1" applyFill="1" applyBorder="1" applyAlignment="1">
      <alignment vertical="top"/>
    </xf>
    <xf numFmtId="3" fontId="29" fillId="16" borderId="71" xfId="0" applyNumberFormat="1" applyFont="1" applyFill="1" applyBorder="1" applyAlignment="1">
      <alignment vertical="top"/>
    </xf>
    <xf numFmtId="0" fontId="5" fillId="14" borderId="22" xfId="0" applyFont="1" applyFill="1" applyBorder="1" applyAlignment="1">
      <alignment vertical="top" wrapText="1"/>
    </xf>
    <xf numFmtId="0" fontId="34" fillId="14" borderId="84" xfId="0" applyFont="1" applyFill="1" applyBorder="1" applyAlignment="1">
      <alignment vertical="center" wrapText="1"/>
    </xf>
    <xf numFmtId="3" fontId="25" fillId="14" borderId="60" xfId="0" applyNumberFormat="1" applyFont="1" applyFill="1" applyBorder="1" applyAlignment="1">
      <alignment vertical="top"/>
    </xf>
    <xf numFmtId="3" fontId="25" fillId="14" borderId="61" xfId="0" applyNumberFormat="1" applyFont="1" applyFill="1" applyBorder="1" applyAlignment="1">
      <alignment vertical="top"/>
    </xf>
    <xf numFmtId="3" fontId="25" fillId="14" borderId="22" xfId="0" applyNumberFormat="1" applyFont="1" applyFill="1" applyBorder="1" applyAlignment="1">
      <alignment vertical="top"/>
    </xf>
    <xf numFmtId="3" fontId="25" fillId="14" borderId="84" xfId="0" applyNumberFormat="1" applyFont="1" applyFill="1" applyBorder="1" applyAlignment="1">
      <alignment vertical="top"/>
    </xf>
    <xf numFmtId="3" fontId="25" fillId="14" borderId="19" xfId="0" applyNumberFormat="1" applyFont="1" applyFill="1" applyBorder="1" applyAlignment="1">
      <alignment vertical="top"/>
    </xf>
    <xf numFmtId="164" fontId="25" fillId="14" borderId="22" xfId="0" applyNumberFormat="1" applyFont="1" applyFill="1" applyBorder="1" applyAlignment="1">
      <alignment vertical="top"/>
    </xf>
    <xf numFmtId="3" fontId="29" fillId="14" borderId="61" xfId="0" applyNumberFormat="1" applyFont="1" applyFill="1" applyBorder="1" applyAlignment="1">
      <alignment vertical="top"/>
    </xf>
    <xf numFmtId="0" fontId="21" fillId="0" borderId="0" xfId="0" applyFont="1" applyFill="1" applyBorder="1" applyAlignment="1">
      <alignment vertical="top"/>
    </xf>
    <xf numFmtId="0" fontId="33" fillId="4" borderId="8" xfId="0" applyFont="1" applyFill="1" applyBorder="1" applyAlignment="1">
      <alignment vertical="top" wrapText="1"/>
    </xf>
    <xf numFmtId="3" fontId="15" fillId="4" borderId="9" xfId="0" applyNumberFormat="1" applyFont="1" applyFill="1" applyBorder="1" applyAlignment="1"/>
    <xf numFmtId="3" fontId="15" fillId="4" borderId="65" xfId="0" applyNumberFormat="1" applyFont="1" applyFill="1" applyBorder="1" applyAlignment="1"/>
    <xf numFmtId="3" fontId="15" fillId="4" borderId="102" xfId="0" applyNumberFormat="1" applyFont="1" applyFill="1" applyBorder="1" applyAlignment="1"/>
    <xf numFmtId="43" fontId="15" fillId="4" borderId="66" xfId="1" applyFont="1" applyFill="1" applyBorder="1" applyAlignment="1"/>
    <xf numFmtId="3" fontId="15" fillId="4" borderId="64" xfId="0" applyNumberFormat="1" applyFont="1" applyFill="1" applyBorder="1" applyAlignment="1"/>
    <xf numFmtId="164" fontId="15" fillId="4" borderId="65" xfId="0" applyNumberFormat="1" applyFont="1" applyFill="1" applyBorder="1" applyAlignment="1"/>
    <xf numFmtId="3" fontId="20" fillId="4" borderId="65" xfId="0" applyNumberFormat="1" applyFont="1" applyFill="1" applyBorder="1" applyAlignment="1"/>
    <xf numFmtId="0" fontId="33" fillId="0" borderId="0" xfId="0" applyFont="1" applyFill="1" applyBorder="1" applyAlignment="1">
      <alignment vertical="top"/>
    </xf>
    <xf numFmtId="3" fontId="22" fillId="2" borderId="64" xfId="0" applyNumberFormat="1" applyFont="1" applyFill="1" applyBorder="1" applyAlignment="1"/>
    <xf numFmtId="3" fontId="22" fillId="2" borderId="65" xfId="0" applyNumberFormat="1" applyFont="1" applyFill="1" applyBorder="1" applyAlignment="1"/>
    <xf numFmtId="3" fontId="22" fillId="2" borderId="102" xfId="0" applyNumberFormat="1" applyFont="1" applyFill="1" applyBorder="1" applyAlignment="1"/>
    <xf numFmtId="3" fontId="22" fillId="2" borderId="9" xfId="0" applyNumberFormat="1" applyFont="1" applyFill="1" applyBorder="1" applyAlignment="1"/>
    <xf numFmtId="164" fontId="22" fillId="2" borderId="65" xfId="0" applyNumberFormat="1" applyFont="1" applyFill="1" applyBorder="1" applyAlignment="1"/>
    <xf numFmtId="3" fontId="30" fillId="2" borderId="65" xfId="0" applyNumberFormat="1" applyFont="1" applyFill="1" applyBorder="1" applyAlignment="1"/>
    <xf numFmtId="0" fontId="7" fillId="0" borderId="65" xfId="0" applyFont="1" applyFill="1" applyBorder="1" applyAlignment="1">
      <alignment vertical="top"/>
    </xf>
    <xf numFmtId="3" fontId="25" fillId="0" borderId="64" xfId="0" applyNumberFormat="1" applyFont="1" applyFill="1" applyBorder="1" applyAlignment="1">
      <alignment vertical="top"/>
    </xf>
    <xf numFmtId="3" fontId="25" fillId="0" borderId="65" xfId="0" applyNumberFormat="1" applyFont="1" applyFill="1" applyBorder="1" applyAlignment="1">
      <alignment vertical="top"/>
    </xf>
    <xf numFmtId="3" fontId="25" fillId="0" borderId="83" xfId="0" applyNumberFormat="1" applyFont="1" applyFill="1" applyBorder="1" applyAlignment="1">
      <alignment vertical="top"/>
    </xf>
    <xf numFmtId="43" fontId="25" fillId="0" borderId="66" xfId="1" applyFont="1" applyFill="1" applyBorder="1" applyAlignment="1">
      <alignment vertical="top"/>
    </xf>
    <xf numFmtId="164" fontId="25" fillId="0" borderId="65" xfId="0" applyNumberFormat="1" applyFont="1" applyFill="1" applyBorder="1" applyAlignment="1">
      <alignment vertical="top"/>
    </xf>
    <xf numFmtId="3" fontId="25" fillId="0" borderId="10" xfId="0" applyNumberFormat="1" applyFont="1" applyFill="1" applyBorder="1" applyAlignment="1">
      <alignment vertical="top"/>
    </xf>
    <xf numFmtId="3" fontId="29" fillId="0" borderId="65" xfId="0" applyNumberFormat="1" applyFont="1" applyFill="1" applyBorder="1" applyAlignment="1">
      <alignment vertical="top"/>
    </xf>
    <xf numFmtId="0" fontId="7" fillId="0" borderId="65" xfId="0" applyFont="1" applyFill="1" applyBorder="1" applyAlignment="1">
      <alignment vertical="top" wrapText="1"/>
    </xf>
    <xf numFmtId="3" fontId="25" fillId="0" borderId="9" xfId="0" applyNumberFormat="1" applyFont="1" applyFill="1" applyBorder="1" applyAlignment="1">
      <alignment vertical="top"/>
    </xf>
    <xf numFmtId="43" fontId="25" fillId="0" borderId="89" xfId="1" applyFont="1" applyFill="1" applyBorder="1" applyAlignment="1">
      <alignment vertical="top"/>
    </xf>
    <xf numFmtId="164" fontId="25" fillId="0" borderId="10" xfId="0" applyNumberFormat="1" applyFont="1" applyFill="1" applyBorder="1" applyAlignment="1">
      <alignment vertical="top"/>
    </xf>
    <xf numFmtId="3" fontId="25" fillId="0" borderId="102" xfId="0" applyNumberFormat="1" applyFont="1" applyFill="1" applyBorder="1" applyAlignment="1">
      <alignment vertical="top"/>
    </xf>
    <xf numFmtId="3" fontId="22" fillId="0" borderId="64" xfId="0" applyNumberFormat="1" applyFont="1" applyFill="1" applyBorder="1" applyAlignment="1">
      <alignment vertical="top"/>
    </xf>
    <xf numFmtId="3" fontId="22" fillId="0" borderId="65" xfId="0" applyNumberFormat="1" applyFont="1" applyFill="1" applyBorder="1" applyAlignment="1">
      <alignment vertical="top"/>
    </xf>
    <xf numFmtId="3" fontId="22" fillId="0" borderId="10" xfId="0" applyNumberFormat="1" applyFont="1" applyFill="1" applyBorder="1" applyAlignment="1">
      <alignment vertical="top"/>
    </xf>
    <xf numFmtId="43" fontId="22" fillId="0" borderId="81" xfId="1" applyFont="1" applyFill="1" applyBorder="1" applyAlignment="1">
      <alignment vertical="top"/>
    </xf>
    <xf numFmtId="3" fontId="22" fillId="0" borderId="9" xfId="0" applyNumberFormat="1" applyFont="1" applyFill="1" applyBorder="1" applyAlignment="1">
      <alignment vertical="top"/>
    </xf>
    <xf numFmtId="164" fontId="22" fillId="0" borderId="65" xfId="0" applyNumberFormat="1" applyFont="1" applyFill="1" applyBorder="1" applyAlignment="1">
      <alignment vertical="top"/>
    </xf>
    <xf numFmtId="3" fontId="22" fillId="0" borderId="102" xfId="0" applyNumberFormat="1" applyFont="1" applyFill="1" applyBorder="1" applyAlignment="1">
      <alignment vertical="top"/>
    </xf>
    <xf numFmtId="3" fontId="30" fillId="0" borderId="65" xfId="0" applyNumberFormat="1" applyFont="1" applyFill="1" applyBorder="1" applyAlignment="1">
      <alignment vertical="top"/>
    </xf>
    <xf numFmtId="0" fontId="7" fillId="0" borderId="80" xfId="2" applyFont="1" applyFill="1" applyBorder="1" applyAlignment="1">
      <alignment vertical="center"/>
    </xf>
    <xf numFmtId="3" fontId="25" fillId="0" borderId="80" xfId="0" applyNumberFormat="1" applyFont="1" applyFill="1" applyBorder="1" applyAlignment="1">
      <alignment vertical="top"/>
    </xf>
    <xf numFmtId="43" fontId="25" fillId="0" borderId="96" xfId="1" applyFont="1" applyFill="1" applyBorder="1" applyAlignment="1">
      <alignment vertical="top"/>
    </xf>
    <xf numFmtId="3" fontId="25" fillId="0" borderId="101" xfId="0" applyNumberFormat="1" applyFont="1" applyFill="1" applyBorder="1" applyAlignment="1">
      <alignment vertical="top"/>
    </xf>
    <xf numFmtId="3" fontId="29" fillId="0" borderId="102" xfId="0" applyNumberFormat="1" applyFont="1" applyFill="1" applyBorder="1" applyAlignment="1">
      <alignment vertical="top"/>
    </xf>
    <xf numFmtId="0" fontId="5" fillId="4" borderId="10" xfId="2" applyFont="1" applyFill="1" applyBorder="1" applyAlignment="1">
      <alignment horizontal="left" vertical="center"/>
    </xf>
    <xf numFmtId="0" fontId="33" fillId="4" borderId="103" xfId="0" applyFont="1" applyFill="1" applyBorder="1" applyAlignment="1">
      <alignment vertical="top"/>
    </xf>
    <xf numFmtId="43" fontId="22" fillId="0" borderId="66" xfId="1" applyFont="1" applyFill="1" applyBorder="1" applyAlignment="1">
      <alignment vertical="top"/>
    </xf>
    <xf numFmtId="3" fontId="25" fillId="0" borderId="13" xfId="0" applyNumberFormat="1" applyFont="1" applyFill="1" applyBorder="1" applyAlignment="1">
      <alignment vertical="top"/>
    </xf>
    <xf numFmtId="3" fontId="25" fillId="0" borderId="71" xfId="0" applyNumberFormat="1" applyFont="1" applyFill="1" applyBorder="1" applyAlignment="1">
      <alignment vertical="top"/>
    </xf>
    <xf numFmtId="3" fontId="25" fillId="0" borderId="15" xfId="0" applyNumberFormat="1" applyFont="1" applyFill="1" applyBorder="1" applyAlignment="1">
      <alignment vertical="top"/>
    </xf>
    <xf numFmtId="164" fontId="25" fillId="0" borderId="71" xfId="0" applyNumberFormat="1" applyFont="1" applyFill="1" applyBorder="1" applyAlignment="1">
      <alignment vertical="top"/>
    </xf>
    <xf numFmtId="0" fontId="5" fillId="14" borderId="22" xfId="0" applyFont="1" applyFill="1" applyBorder="1" applyAlignment="1">
      <alignment horizontal="left" vertical="top" wrapText="1"/>
    </xf>
    <xf numFmtId="3" fontId="15" fillId="14" borderId="60" xfId="0" applyNumberFormat="1" applyFont="1" applyFill="1" applyBorder="1" applyAlignment="1">
      <alignment vertical="top"/>
    </xf>
    <xf numFmtId="3" fontId="15" fillId="14" borderId="61" xfId="0" applyNumberFormat="1" applyFont="1" applyFill="1" applyBorder="1" applyAlignment="1">
      <alignment vertical="top"/>
    </xf>
    <xf numFmtId="3" fontId="15" fillId="14" borderId="22" xfId="0" applyNumberFormat="1" applyFont="1" applyFill="1" applyBorder="1" applyAlignment="1">
      <alignment vertical="top"/>
    </xf>
    <xf numFmtId="3" fontId="15" fillId="14" borderId="84" xfId="0" applyNumberFormat="1" applyFont="1" applyFill="1" applyBorder="1" applyAlignment="1">
      <alignment vertical="top"/>
    </xf>
    <xf numFmtId="3" fontId="5" fillId="14" borderId="19" xfId="0" applyNumberFormat="1" applyFont="1" applyFill="1" applyBorder="1" applyAlignment="1">
      <alignment vertical="top"/>
    </xf>
    <xf numFmtId="164" fontId="5" fillId="14" borderId="61" xfId="0" applyNumberFormat="1" applyFont="1" applyFill="1" applyBorder="1" applyAlignment="1">
      <alignment vertical="top"/>
    </xf>
    <xf numFmtId="3" fontId="5" fillId="14" borderId="61" xfId="0" applyNumberFormat="1" applyFont="1" applyFill="1" applyBorder="1" applyAlignment="1">
      <alignment vertical="top"/>
    </xf>
    <xf numFmtId="3" fontId="20" fillId="14" borderId="61" xfId="0" applyNumberFormat="1" applyFont="1" applyFill="1" applyBorder="1" applyAlignment="1">
      <alignment vertical="top"/>
    </xf>
    <xf numFmtId="0" fontId="5" fillId="4" borderId="102" xfId="2" applyFont="1" applyFill="1" applyBorder="1" applyAlignment="1">
      <alignment horizontal="left" vertical="center"/>
    </xf>
    <xf numFmtId="0" fontId="33" fillId="4" borderId="8" xfId="0" applyFont="1" applyFill="1" applyBorder="1" applyAlignment="1">
      <alignment vertical="top"/>
    </xf>
    <xf numFmtId="3" fontId="5" fillId="4" borderId="101" xfId="0" applyNumberFormat="1" applyFont="1" applyFill="1" applyBorder="1" applyAlignment="1"/>
    <xf numFmtId="164" fontId="5" fillId="4" borderId="80" xfId="0" applyNumberFormat="1" applyFont="1" applyFill="1" applyBorder="1" applyAlignment="1"/>
    <xf numFmtId="3" fontId="5" fillId="4" borderId="10" xfId="0" applyNumberFormat="1" applyFont="1" applyFill="1" applyBorder="1" applyAlignment="1"/>
    <xf numFmtId="3" fontId="6" fillId="2" borderId="102" xfId="2" applyNumberFormat="1" applyFont="1" applyFill="1" applyBorder="1" applyAlignment="1">
      <alignment vertical="top" wrapText="1"/>
    </xf>
    <xf numFmtId="3" fontId="22" fillId="0" borderId="64" xfId="0" applyNumberFormat="1" applyFont="1" applyFill="1" applyBorder="1" applyAlignment="1"/>
    <xf numFmtId="3" fontId="22" fillId="0" borderId="65" xfId="0" applyNumberFormat="1" applyFont="1" applyFill="1" applyBorder="1" applyAlignment="1"/>
    <xf numFmtId="43" fontId="22" fillId="0" borderId="8" xfId="1" applyFont="1" applyFill="1" applyBorder="1" applyAlignment="1"/>
    <xf numFmtId="3" fontId="6" fillId="0" borderId="64" xfId="0" applyNumberFormat="1" applyFont="1" applyFill="1" applyBorder="1" applyAlignment="1"/>
    <xf numFmtId="164" fontId="6" fillId="0" borderId="10" xfId="0" applyNumberFormat="1" applyFont="1" applyFill="1" applyBorder="1" applyAlignment="1"/>
    <xf numFmtId="3" fontId="6" fillId="0" borderId="65" xfId="0" applyNumberFormat="1" applyFont="1" applyFill="1" applyBorder="1" applyAlignment="1"/>
    <xf numFmtId="3" fontId="30" fillId="0" borderId="65" xfId="0" applyNumberFormat="1" applyFont="1" applyFill="1" applyBorder="1" applyAlignment="1"/>
    <xf numFmtId="0" fontId="7" fillId="0" borderId="102" xfId="0" applyFont="1" applyFill="1" applyBorder="1" applyAlignment="1">
      <alignment vertical="top"/>
    </xf>
    <xf numFmtId="43" fontId="25" fillId="0" borderId="65" xfId="1" applyFont="1" applyFill="1" applyBorder="1" applyAlignment="1">
      <alignment vertical="top"/>
    </xf>
    <xf numFmtId="3" fontId="7" fillId="0" borderId="64" xfId="0" applyNumberFormat="1" applyFont="1" applyFill="1" applyBorder="1" applyAlignment="1">
      <alignment vertical="top"/>
    </xf>
    <xf numFmtId="164" fontId="7" fillId="0" borderId="65" xfId="0" applyNumberFormat="1" applyFont="1" applyFill="1" applyBorder="1" applyAlignment="1">
      <alignment vertical="top"/>
    </xf>
    <xf numFmtId="43" fontId="7" fillId="0" borderId="65" xfId="1" applyFont="1" applyFill="1" applyBorder="1" applyAlignment="1">
      <alignment vertical="top"/>
    </xf>
    <xf numFmtId="43" fontId="29" fillId="0" borderId="65" xfId="1" applyFont="1" applyFill="1" applyBorder="1" applyAlignment="1">
      <alignment vertical="top"/>
    </xf>
    <xf numFmtId="43" fontId="25" fillId="0" borderId="68" xfId="1" applyFont="1" applyFill="1" applyBorder="1" applyAlignment="1">
      <alignment vertical="top"/>
    </xf>
    <xf numFmtId="3" fontId="7" fillId="0" borderId="10" xfId="0" applyNumberFormat="1" applyFont="1" applyFill="1" applyBorder="1" applyAlignment="1">
      <alignment vertical="top"/>
    </xf>
    <xf numFmtId="3" fontId="22" fillId="0" borderId="82" xfId="0" applyNumberFormat="1" applyFont="1" applyFill="1" applyBorder="1" applyAlignment="1">
      <alignment vertical="top"/>
    </xf>
    <xf numFmtId="43" fontId="22" fillId="0" borderId="102" xfId="1" applyFont="1" applyFill="1" applyBorder="1" applyAlignment="1">
      <alignment vertical="top"/>
    </xf>
    <xf numFmtId="43" fontId="22" fillId="0" borderId="8" xfId="1" applyFont="1" applyFill="1" applyBorder="1" applyAlignment="1">
      <alignment vertical="top"/>
    </xf>
    <xf numFmtId="3" fontId="6" fillId="0" borderId="64" xfId="0" applyNumberFormat="1" applyFont="1" applyFill="1" applyBorder="1" applyAlignment="1">
      <alignment vertical="top"/>
    </xf>
    <xf numFmtId="164" fontId="6" fillId="0" borderId="10" xfId="0" applyNumberFormat="1" applyFont="1" applyFill="1" applyBorder="1" applyAlignment="1">
      <alignment vertical="top"/>
    </xf>
    <xf numFmtId="43" fontId="6" fillId="0" borderId="65" xfId="1" applyFont="1" applyFill="1" applyBorder="1" applyAlignment="1">
      <alignment vertical="top"/>
    </xf>
    <xf numFmtId="43" fontId="6" fillId="0" borderId="10" xfId="1" applyFont="1" applyFill="1" applyBorder="1" applyAlignment="1">
      <alignment vertical="top"/>
    </xf>
    <xf numFmtId="43" fontId="30" fillId="0" borderId="65" xfId="1" applyFont="1" applyFill="1" applyBorder="1" applyAlignment="1">
      <alignment vertical="top"/>
    </xf>
    <xf numFmtId="0" fontId="7" fillId="0" borderId="10" xfId="2" applyFont="1" applyFill="1" applyBorder="1" applyAlignment="1">
      <alignment vertical="center"/>
    </xf>
    <xf numFmtId="43" fontId="29" fillId="0" borderId="102" xfId="1" applyFont="1" applyFill="1" applyBorder="1" applyAlignment="1">
      <alignment vertical="top"/>
    </xf>
    <xf numFmtId="43" fontId="15" fillId="4" borderId="8" xfId="1" applyFont="1" applyFill="1" applyBorder="1" applyAlignment="1"/>
    <xf numFmtId="3" fontId="5" fillId="4" borderId="64" xfId="0" applyNumberFormat="1" applyFont="1" applyFill="1" applyBorder="1" applyAlignment="1"/>
    <xf numFmtId="164" fontId="5" fillId="4" borderId="65" xfId="0" applyNumberFormat="1" applyFont="1" applyFill="1" applyBorder="1" applyAlignment="1"/>
    <xf numFmtId="43" fontId="20" fillId="4" borderId="65" xfId="1" applyFont="1" applyFill="1" applyBorder="1" applyAlignment="1"/>
    <xf numFmtId="0" fontId="6" fillId="2" borderId="102" xfId="2" applyFont="1" applyFill="1" applyBorder="1" applyAlignment="1">
      <alignment vertical="top"/>
    </xf>
    <xf numFmtId="3" fontId="5" fillId="0" borderId="64" xfId="0" applyNumberFormat="1" applyFont="1" applyFill="1" applyBorder="1" applyAlignment="1">
      <alignment vertical="top"/>
    </xf>
    <xf numFmtId="3" fontId="25" fillId="0" borderId="70" xfId="0" applyNumberFormat="1" applyFont="1" applyFill="1" applyBorder="1" applyAlignment="1">
      <alignment vertical="top"/>
    </xf>
    <xf numFmtId="43" fontId="25" fillId="0" borderId="71" xfId="1" applyFont="1" applyFill="1" applyBorder="1" applyAlignment="1">
      <alignment vertical="top"/>
    </xf>
    <xf numFmtId="43" fontId="25" fillId="0" borderId="33" xfId="1" applyFont="1" applyFill="1" applyBorder="1" applyAlignment="1">
      <alignment vertical="top"/>
    </xf>
    <xf numFmtId="3" fontId="7" fillId="0" borderId="13" xfId="0" applyNumberFormat="1" applyFont="1" applyFill="1" applyBorder="1" applyAlignment="1">
      <alignment vertical="top"/>
    </xf>
    <xf numFmtId="164" fontId="7" fillId="0" borderId="71" xfId="0" applyNumberFormat="1" applyFont="1" applyFill="1" applyBorder="1" applyAlignment="1">
      <alignment vertical="top"/>
    </xf>
    <xf numFmtId="43" fontId="7" fillId="0" borderId="15" xfId="1" applyFont="1" applyFill="1" applyBorder="1" applyAlignment="1">
      <alignment vertical="top"/>
    </xf>
    <xf numFmtId="43" fontId="7" fillId="0" borderId="71" xfId="1" applyFont="1" applyFill="1" applyBorder="1" applyAlignment="1">
      <alignment vertical="top"/>
    </xf>
    <xf numFmtId="43" fontId="29" fillId="0" borderId="71" xfId="1" applyFont="1" applyFill="1" applyBorder="1" applyAlignment="1">
      <alignment vertical="top"/>
    </xf>
    <xf numFmtId="164" fontId="5" fillId="14" borderId="22" xfId="0" applyNumberFormat="1" applyFont="1" applyFill="1" applyBorder="1" applyAlignment="1">
      <alignment vertical="top"/>
    </xf>
    <xf numFmtId="3" fontId="5" fillId="14" borderId="22" xfId="0" applyNumberFormat="1" applyFont="1" applyFill="1" applyBorder="1" applyAlignment="1">
      <alignment vertical="top"/>
    </xf>
    <xf numFmtId="3" fontId="15" fillId="4" borderId="108" xfId="0" applyNumberFormat="1" applyFont="1" applyFill="1" applyBorder="1" applyAlignment="1"/>
    <xf numFmtId="3" fontId="5" fillId="4" borderId="102" xfId="0" applyNumberFormat="1" applyFont="1" applyFill="1" applyBorder="1" applyAlignment="1"/>
    <xf numFmtId="3" fontId="20" fillId="4" borderId="102" xfId="0" applyNumberFormat="1" applyFont="1" applyFill="1" applyBorder="1" applyAlignment="1"/>
    <xf numFmtId="3" fontId="22" fillId="2" borderId="108" xfId="0" applyNumberFormat="1" applyFont="1" applyFill="1" applyBorder="1" applyAlignment="1"/>
    <xf numFmtId="3" fontId="6" fillId="2" borderId="101" xfId="0" applyNumberFormat="1" applyFont="1" applyFill="1" applyBorder="1" applyAlignment="1"/>
    <xf numFmtId="164" fontId="6" fillId="2" borderId="10" xfId="0" applyNumberFormat="1" applyFont="1" applyFill="1" applyBorder="1" applyAlignment="1"/>
    <xf numFmtId="3" fontId="6" fillId="2" borderId="102" xfId="0" applyNumberFormat="1" applyFont="1" applyFill="1" applyBorder="1" applyAlignment="1"/>
    <xf numFmtId="3" fontId="30" fillId="2" borderId="102" xfId="0" applyNumberFormat="1" applyFont="1" applyFill="1" applyBorder="1" applyAlignment="1"/>
    <xf numFmtId="0" fontId="7" fillId="2" borderId="65" xfId="0" applyFont="1" applyFill="1" applyBorder="1" applyAlignment="1">
      <alignment vertical="top"/>
    </xf>
    <xf numFmtId="3" fontId="25" fillId="2" borderId="65" xfId="0" applyNumberFormat="1" applyFont="1" applyFill="1" applyBorder="1" applyAlignment="1">
      <alignment vertical="top"/>
    </xf>
    <xf numFmtId="3" fontId="25" fillId="0" borderId="68" xfId="0" applyNumberFormat="1" applyFont="1" applyFill="1" applyBorder="1" applyAlignment="1">
      <alignment vertical="top"/>
    </xf>
    <xf numFmtId="3" fontId="7" fillId="2" borderId="64" xfId="0" applyNumberFormat="1" applyFont="1" applyFill="1" applyBorder="1" applyAlignment="1">
      <alignment vertical="top"/>
    </xf>
    <xf numFmtId="164" fontId="7" fillId="2" borderId="65" xfId="0" applyNumberFormat="1" applyFont="1" applyFill="1" applyBorder="1" applyAlignment="1">
      <alignment vertical="top"/>
    </xf>
    <xf numFmtId="3" fontId="7" fillId="2" borderId="65" xfId="0" applyNumberFormat="1" applyFont="1" applyFill="1" applyBorder="1" applyAlignment="1">
      <alignment vertical="top"/>
    </xf>
    <xf numFmtId="3" fontId="29" fillId="2" borderId="102" xfId="0" applyNumberFormat="1" applyFont="1" applyFill="1" applyBorder="1" applyAlignment="1">
      <alignment vertical="top"/>
    </xf>
    <xf numFmtId="0" fontId="7" fillId="2" borderId="65" xfId="0" applyFont="1" applyFill="1" applyBorder="1" applyAlignment="1">
      <alignment vertical="top" wrapText="1"/>
    </xf>
    <xf numFmtId="3" fontId="7" fillId="0" borderId="65" xfId="0" applyNumberFormat="1" applyFont="1" applyFill="1" applyBorder="1" applyAlignment="1"/>
    <xf numFmtId="0" fontId="7" fillId="2" borderId="80" xfId="0" applyFont="1" applyFill="1" applyBorder="1" applyAlignment="1">
      <alignment vertical="top" wrapText="1"/>
    </xf>
    <xf numFmtId="3" fontId="25" fillId="0" borderId="96" xfId="0" applyNumberFormat="1" applyFont="1" applyFill="1" applyBorder="1" applyAlignment="1">
      <alignment vertical="top"/>
    </xf>
    <xf numFmtId="164" fontId="7" fillId="2" borderId="10" xfId="0" applyNumberFormat="1" applyFont="1" applyFill="1" applyBorder="1" applyAlignment="1">
      <alignment vertical="top"/>
    </xf>
    <xf numFmtId="3" fontId="29" fillId="0" borderId="10" xfId="0" applyNumberFormat="1" applyFont="1" applyFill="1" applyBorder="1" applyAlignment="1">
      <alignment vertical="top"/>
    </xf>
    <xf numFmtId="0" fontId="7" fillId="2" borderId="102" xfId="0" applyFont="1" applyFill="1" applyBorder="1" applyAlignment="1">
      <alignment vertical="top" wrapText="1"/>
    </xf>
    <xf numFmtId="0" fontId="6" fillId="2" borderId="76" xfId="2" applyFont="1" applyFill="1" applyBorder="1" applyAlignment="1">
      <alignment vertical="top"/>
    </xf>
    <xf numFmtId="3" fontId="25" fillId="0" borderId="28" xfId="0" applyNumberFormat="1" applyFont="1" applyFill="1" applyBorder="1" applyAlignment="1">
      <alignment vertical="center"/>
    </xf>
    <xf numFmtId="3" fontId="22" fillId="2" borderId="65" xfId="0" applyNumberFormat="1" applyFont="1" applyFill="1" applyBorder="1" applyAlignment="1">
      <alignment vertical="top"/>
    </xf>
    <xf numFmtId="3" fontId="22" fillId="2" borderId="30" xfId="0" applyNumberFormat="1" applyFont="1" applyFill="1" applyBorder="1" applyAlignment="1">
      <alignment vertical="top"/>
    </xf>
    <xf numFmtId="3" fontId="22" fillId="2" borderId="97" xfId="0" applyNumberFormat="1" applyFont="1" applyFill="1" applyBorder="1" applyAlignment="1">
      <alignment vertical="top"/>
    </xf>
    <xf numFmtId="3" fontId="6" fillId="2" borderId="28" xfId="0" applyNumberFormat="1" applyFont="1" applyFill="1" applyBorder="1" applyAlignment="1">
      <alignment vertical="top"/>
    </xf>
    <xf numFmtId="164" fontId="6" fillId="2" borderId="30" xfId="0" applyNumberFormat="1" applyFont="1" applyFill="1" applyBorder="1" applyAlignment="1">
      <alignment vertical="top"/>
    </xf>
    <xf numFmtId="3" fontId="6" fillId="2" borderId="30" xfId="0" applyNumberFormat="1" applyFont="1" applyFill="1" applyBorder="1" applyAlignment="1">
      <alignment vertical="top"/>
    </xf>
    <xf numFmtId="3" fontId="30" fillId="2" borderId="30" xfId="0" applyNumberFormat="1" applyFont="1" applyFill="1" applyBorder="1" applyAlignment="1">
      <alignment vertical="top"/>
    </xf>
    <xf numFmtId="0" fontId="7" fillId="2" borderId="6" xfId="2" applyFont="1" applyFill="1" applyBorder="1" applyAlignment="1">
      <alignment vertical="center"/>
    </xf>
    <xf numFmtId="3" fontId="25" fillId="0" borderId="3" xfId="0" applyNumberFormat="1" applyFont="1" applyFill="1" applyBorder="1" applyAlignment="1">
      <alignment vertical="center"/>
    </xf>
    <xf numFmtId="3" fontId="25" fillId="2" borderId="6" xfId="0" applyNumberFormat="1" applyFont="1" applyFill="1" applyBorder="1" applyAlignment="1">
      <alignment vertical="top"/>
    </xf>
    <xf numFmtId="3" fontId="25" fillId="2" borderId="98" xfId="0" applyNumberFormat="1" applyFont="1" applyFill="1" applyBorder="1" applyAlignment="1">
      <alignment vertical="top"/>
    </xf>
    <xf numFmtId="3" fontId="7" fillId="2" borderId="3" xfId="0" applyNumberFormat="1" applyFont="1" applyFill="1" applyBorder="1" applyAlignment="1">
      <alignment vertical="top"/>
    </xf>
    <xf numFmtId="164" fontId="7" fillId="2" borderId="6" xfId="0" applyNumberFormat="1" applyFont="1" applyFill="1" applyBorder="1" applyAlignment="1">
      <alignment vertical="top"/>
    </xf>
    <xf numFmtId="3" fontId="7" fillId="2" borderId="6" xfId="0" applyNumberFormat="1" applyFont="1" applyFill="1" applyBorder="1" applyAlignment="1">
      <alignment vertical="top"/>
    </xf>
    <xf numFmtId="3" fontId="29" fillId="2" borderId="6" xfId="0" applyNumberFormat="1" applyFont="1" applyFill="1" applyBorder="1" applyAlignment="1">
      <alignment vertical="top"/>
    </xf>
    <xf numFmtId="0" fontId="33" fillId="4" borderId="66" xfId="0" applyFont="1" applyFill="1" applyBorder="1" applyAlignment="1">
      <alignment vertical="top"/>
    </xf>
    <xf numFmtId="3" fontId="5" fillId="4" borderId="65" xfId="0" applyNumberFormat="1" applyFont="1" applyFill="1" applyBorder="1" applyAlignment="1"/>
    <xf numFmtId="3" fontId="22" fillId="0" borderId="80" xfId="0" applyNumberFormat="1" applyFont="1" applyFill="1" applyBorder="1" applyAlignment="1">
      <alignment vertical="top"/>
    </xf>
    <xf numFmtId="3" fontId="22" fillId="0" borderId="68" xfId="0" applyNumberFormat="1" applyFont="1" applyFill="1" applyBorder="1" applyAlignment="1">
      <alignment vertical="top"/>
    </xf>
    <xf numFmtId="3" fontId="5" fillId="0" borderId="64" xfId="0" applyNumberFormat="1" applyFont="1" applyFill="1" applyBorder="1" applyAlignment="1"/>
    <xf numFmtId="164" fontId="7" fillId="0" borderId="65" xfId="0" applyNumberFormat="1" applyFont="1" applyFill="1" applyBorder="1" applyAlignment="1"/>
    <xf numFmtId="3" fontId="30" fillId="0" borderId="80" xfId="0" applyNumberFormat="1" applyFont="1" applyFill="1" applyBorder="1" applyAlignment="1">
      <alignment vertical="top"/>
    </xf>
    <xf numFmtId="3" fontId="7" fillId="0" borderId="64" xfId="0" applyNumberFormat="1" applyFont="1" applyFill="1" applyBorder="1" applyAlignment="1"/>
    <xf numFmtId="0" fontId="7" fillId="2" borderId="71" xfId="0" applyFont="1" applyFill="1" applyBorder="1" applyAlignment="1">
      <alignment vertical="top" wrapText="1"/>
    </xf>
    <xf numFmtId="3" fontId="25" fillId="0" borderId="90" xfId="0" applyNumberFormat="1" applyFont="1" applyFill="1" applyBorder="1" applyAlignment="1">
      <alignment vertical="top"/>
    </xf>
    <xf numFmtId="3" fontId="7" fillId="0" borderId="13" xfId="0" applyNumberFormat="1" applyFont="1" applyFill="1" applyBorder="1" applyAlignment="1"/>
    <xf numFmtId="164" fontId="7" fillId="0" borderId="15" xfId="0" applyNumberFormat="1" applyFont="1" applyFill="1" applyBorder="1" applyAlignment="1"/>
    <xf numFmtId="3" fontId="7" fillId="0" borderId="15" xfId="0" applyNumberFormat="1" applyFont="1" applyFill="1" applyBorder="1" applyAlignment="1"/>
    <xf numFmtId="3" fontId="29" fillId="0" borderId="71" xfId="0" applyNumberFormat="1" applyFont="1" applyFill="1" applyBorder="1" applyAlignment="1">
      <alignment vertical="top"/>
    </xf>
    <xf numFmtId="0" fontId="5" fillId="14" borderId="61" xfId="0" applyFont="1" applyFill="1" applyBorder="1" applyAlignment="1">
      <alignment vertical="center" wrapText="1"/>
    </xf>
    <xf numFmtId="0" fontId="20" fillId="14" borderId="62" xfId="0" applyFont="1" applyFill="1" applyBorder="1" applyAlignment="1">
      <alignment horizontal="center" vertical="center" wrapText="1"/>
    </xf>
    <xf numFmtId="0" fontId="7" fillId="14" borderId="60" xfId="0" applyFont="1" applyFill="1" applyBorder="1" applyAlignment="1">
      <alignment vertical="top"/>
    </xf>
    <xf numFmtId="43" fontId="7" fillId="14" borderId="61" xfId="1" applyFont="1" applyFill="1" applyBorder="1" applyAlignment="1">
      <alignment vertical="top"/>
    </xf>
    <xf numFmtId="0" fontId="7" fillId="14" borderId="63" xfId="0" applyFont="1" applyFill="1" applyBorder="1" applyAlignment="1">
      <alignment vertical="top"/>
    </xf>
    <xf numFmtId="165" fontId="7" fillId="14" borderId="61" xfId="0" applyNumberFormat="1" applyFont="1" applyFill="1" applyBorder="1" applyAlignment="1">
      <alignment vertical="top"/>
    </xf>
    <xf numFmtId="0" fontId="33" fillId="14" borderId="61" xfId="0" applyFont="1" applyFill="1" applyBorder="1" applyAlignment="1">
      <alignment vertical="top"/>
    </xf>
    <xf numFmtId="0" fontId="49" fillId="0" borderId="96" xfId="0" applyFont="1" applyBorder="1" applyAlignment="1">
      <alignment wrapText="1"/>
    </xf>
    <xf numFmtId="0" fontId="29" fillId="4" borderId="66" xfId="0" applyFont="1" applyFill="1" applyBorder="1" applyAlignment="1">
      <alignment vertical="top"/>
    </xf>
    <xf numFmtId="3" fontId="5" fillId="4" borderId="64" xfId="0" applyNumberFormat="1" applyFont="1" applyFill="1" applyBorder="1" applyAlignment="1">
      <alignment vertical="top"/>
    </xf>
    <xf numFmtId="3" fontId="5" fillId="4" borderId="69" xfId="0" applyNumberFormat="1" applyFont="1" applyFill="1" applyBorder="1" applyAlignment="1">
      <alignment vertical="top"/>
    </xf>
    <xf numFmtId="3" fontId="15" fillId="4" borderId="64" xfId="0" applyNumberFormat="1" applyFont="1" applyFill="1" applyBorder="1" applyAlignment="1">
      <alignment vertical="top"/>
    </xf>
    <xf numFmtId="3" fontId="15" fillId="4" borderId="69" xfId="0" applyNumberFormat="1" applyFont="1" applyFill="1" applyBorder="1" applyAlignment="1">
      <alignment vertical="top"/>
    </xf>
    <xf numFmtId="165" fontId="15" fillId="4" borderId="65" xfId="0" applyNumberFormat="1" applyFont="1" applyFill="1" applyBorder="1" applyAlignment="1">
      <alignment vertical="top"/>
    </xf>
    <xf numFmtId="3" fontId="6" fillId="2" borderId="64" xfId="0" applyNumberFormat="1" applyFont="1" applyFill="1" applyBorder="1" applyAlignment="1">
      <alignment vertical="center"/>
    </xf>
    <xf numFmtId="3" fontId="6" fillId="2" borderId="65" xfId="0" applyNumberFormat="1" applyFont="1" applyFill="1" applyBorder="1" applyAlignment="1">
      <alignment vertical="center"/>
    </xf>
    <xf numFmtId="3" fontId="22" fillId="2" borderId="64" xfId="0" applyNumberFormat="1" applyFont="1" applyFill="1" applyBorder="1" applyAlignment="1">
      <alignment vertical="center"/>
    </xf>
    <xf numFmtId="3" fontId="22" fillId="2" borderId="65" xfId="0" applyNumberFormat="1" applyFont="1" applyFill="1" applyBorder="1" applyAlignment="1">
      <alignment vertical="center"/>
    </xf>
    <xf numFmtId="165" fontId="22" fillId="2" borderId="65" xfId="0" applyNumberFormat="1" applyFont="1" applyFill="1" applyBorder="1" applyAlignment="1">
      <alignment vertical="center"/>
    </xf>
    <xf numFmtId="0" fontId="7" fillId="2" borderId="71" xfId="0" applyFont="1" applyFill="1" applyBorder="1" applyAlignment="1">
      <alignment vertical="top"/>
    </xf>
    <xf numFmtId="3" fontId="7" fillId="2" borderId="70" xfId="0" applyNumberFormat="1" applyFont="1" applyFill="1" applyBorder="1" applyAlignment="1">
      <alignment vertical="top"/>
    </xf>
    <xf numFmtId="3" fontId="7" fillId="2" borderId="71" xfId="0" applyNumberFormat="1" applyFont="1" applyFill="1" applyBorder="1" applyAlignment="1">
      <alignment vertical="top"/>
    </xf>
    <xf numFmtId="3" fontId="25" fillId="2" borderId="70" xfId="0" applyNumberFormat="1" applyFont="1" applyFill="1" applyBorder="1" applyAlignment="1">
      <alignment vertical="top"/>
    </xf>
    <xf numFmtId="3" fontId="25" fillId="2" borderId="71" xfId="0" applyNumberFormat="1" applyFont="1" applyFill="1" applyBorder="1" applyAlignment="1">
      <alignment vertical="top"/>
    </xf>
    <xf numFmtId="165" fontId="25" fillId="0" borderId="71" xfId="0" applyNumberFormat="1" applyFont="1" applyFill="1" applyBorder="1" applyAlignment="1">
      <alignment vertical="top"/>
    </xf>
    <xf numFmtId="43" fontId="5" fillId="4" borderId="69" xfId="1" applyFont="1" applyFill="1" applyBorder="1" applyAlignment="1">
      <alignment vertical="top"/>
    </xf>
    <xf numFmtId="43" fontId="15" fillId="4" borderId="69" xfId="1" applyFont="1" applyFill="1" applyBorder="1" applyAlignment="1">
      <alignment vertical="top"/>
    </xf>
    <xf numFmtId="43" fontId="15" fillId="4" borderId="65" xfId="1" applyFont="1" applyFill="1" applyBorder="1" applyAlignment="1">
      <alignment vertical="top"/>
    </xf>
    <xf numFmtId="43" fontId="6" fillId="2" borderId="65" xfId="1" applyFont="1" applyFill="1" applyBorder="1" applyAlignment="1">
      <alignment vertical="center"/>
    </xf>
    <xf numFmtId="43" fontId="22" fillId="2" borderId="65" xfId="1" applyFont="1" applyFill="1" applyBorder="1" applyAlignment="1">
      <alignment vertical="center"/>
    </xf>
    <xf numFmtId="43" fontId="7" fillId="2" borderId="71" xfId="1" applyFont="1" applyFill="1" applyBorder="1" applyAlignment="1">
      <alignment vertical="top"/>
    </xf>
    <xf numFmtId="43" fontId="25" fillId="2" borderId="71" xfId="1" applyFont="1" applyFill="1" applyBorder="1" applyAlignment="1">
      <alignment vertical="top"/>
    </xf>
    <xf numFmtId="0" fontId="34" fillId="2" borderId="21" xfId="0" quotePrefix="1" applyFont="1" applyFill="1" applyBorder="1" applyAlignment="1">
      <alignment horizontal="center" vertical="center" wrapText="1"/>
    </xf>
    <xf numFmtId="0" fontId="33" fillId="2" borderId="21" xfId="0" applyFont="1" applyFill="1" applyBorder="1" applyAlignment="1">
      <alignment vertical="top" wrapText="1"/>
    </xf>
    <xf numFmtId="0" fontId="34" fillId="2" borderId="21" xfId="0" applyFont="1" applyFill="1" applyBorder="1" applyAlignment="1">
      <alignment horizontal="center" vertical="center" wrapText="1"/>
    </xf>
    <xf numFmtId="3" fontId="29" fillId="0" borderId="21" xfId="0" applyNumberFormat="1" applyFont="1" applyFill="1" applyBorder="1" applyAlignment="1">
      <alignment vertical="top"/>
    </xf>
    <xf numFmtId="3" fontId="33" fillId="0" borderId="21" xfId="0" applyNumberFormat="1" applyFont="1" applyFill="1" applyBorder="1" applyAlignment="1"/>
    <xf numFmtId="164" fontId="33" fillId="0" borderId="21" xfId="0" applyNumberFormat="1" applyFont="1" applyFill="1" applyBorder="1" applyAlignment="1"/>
    <xf numFmtId="0" fontId="16" fillId="0" borderId="0" xfId="0" applyFont="1" applyBorder="1" applyAlignment="1">
      <alignment horizontal="center" wrapText="1"/>
    </xf>
    <xf numFmtId="0" fontId="33" fillId="0" borderId="0" xfId="2" applyFont="1" applyFill="1" applyBorder="1" applyAlignment="1">
      <alignment vertical="center"/>
    </xf>
    <xf numFmtId="0" fontId="36" fillId="0" borderId="0" xfId="0" applyFont="1" applyBorder="1" applyAlignment="1">
      <alignment horizontal="center" vertical="center" wrapText="1"/>
    </xf>
    <xf numFmtId="3" fontId="33" fillId="0" borderId="0" xfId="0" applyNumberFormat="1" applyFont="1" applyFill="1" applyBorder="1" applyAlignment="1">
      <alignment vertical="top"/>
    </xf>
    <xf numFmtId="0" fontId="33" fillId="0" borderId="0" xfId="0" applyFont="1" applyFill="1" applyBorder="1" applyAlignment="1">
      <alignment horizontal="center" vertical="top" wrapText="1"/>
    </xf>
    <xf numFmtId="0" fontId="19" fillId="0" borderId="0" xfId="0" applyFont="1" applyFill="1" applyBorder="1" applyAlignment="1">
      <alignment vertical="top"/>
    </xf>
    <xf numFmtId="0" fontId="34" fillId="0" borderId="0" xfId="0" applyFont="1" applyFill="1" applyBorder="1" applyAlignment="1">
      <alignment vertical="top"/>
    </xf>
    <xf numFmtId="0" fontId="16" fillId="0" borderId="0" xfId="0" applyFont="1" applyBorder="1" applyAlignment="1">
      <alignment horizontal="center" vertical="top" wrapText="1"/>
    </xf>
    <xf numFmtId="0" fontId="50" fillId="0" borderId="0" xfId="0" applyFont="1" applyFill="1" applyBorder="1" applyAlignment="1">
      <alignment vertical="top"/>
    </xf>
    <xf numFmtId="0" fontId="51" fillId="0" borderId="0" xfId="0" applyFont="1" applyFill="1" applyBorder="1" applyAlignment="1">
      <alignment vertical="top"/>
    </xf>
    <xf numFmtId="3" fontId="16" fillId="0" borderId="0" xfId="0" applyNumberFormat="1" applyFont="1" applyBorder="1" applyAlignment="1">
      <alignment vertical="top"/>
    </xf>
    <xf numFmtId="0" fontId="16" fillId="0" borderId="0" xfId="0" applyFont="1" applyFill="1" applyBorder="1" applyAlignment="1">
      <alignment horizontal="center" vertical="top" wrapText="1"/>
    </xf>
    <xf numFmtId="0" fontId="5" fillId="0" borderId="42" xfId="0" applyFont="1" applyBorder="1" applyAlignment="1">
      <alignment vertical="top"/>
    </xf>
    <xf numFmtId="0" fontId="16" fillId="0" borderId="21" xfId="0" applyFont="1" applyBorder="1" applyAlignment="1">
      <alignment vertical="top"/>
    </xf>
    <xf numFmtId="0" fontId="16" fillId="0" borderId="95" xfId="0" applyFont="1" applyBorder="1" applyAlignment="1">
      <alignment horizontal="center" vertical="top" wrapText="1"/>
    </xf>
    <xf numFmtId="0" fontId="5" fillId="0" borderId="50" xfId="0" applyFont="1" applyBorder="1" applyAlignment="1">
      <alignment vertical="top"/>
    </xf>
    <xf numFmtId="0" fontId="16" fillId="0" borderId="96" xfId="0" applyFont="1" applyBorder="1" applyAlignment="1">
      <alignment horizontal="center" vertical="top" wrapText="1"/>
    </xf>
    <xf numFmtId="0" fontId="5" fillId="0" borderId="49" xfId="0" applyFont="1" applyBorder="1" applyAlignment="1">
      <alignment vertical="top"/>
    </xf>
    <xf numFmtId="0" fontId="16" fillId="0" borderId="14" xfId="0" applyFont="1" applyBorder="1" applyAlignment="1">
      <alignment vertical="top"/>
    </xf>
    <xf numFmtId="0" fontId="35" fillId="0" borderId="14" xfId="0" applyFont="1" applyBorder="1" applyAlignment="1">
      <alignment vertical="top"/>
    </xf>
    <xf numFmtId="0" fontId="16" fillId="0" borderId="100" xfId="0" applyFont="1" applyBorder="1" applyAlignment="1">
      <alignment horizontal="center" vertical="top" wrapText="1"/>
    </xf>
    <xf numFmtId="0" fontId="5" fillId="0" borderId="0" xfId="0" applyFont="1" applyAlignment="1">
      <alignment vertical="top"/>
    </xf>
    <xf numFmtId="0" fontId="16" fillId="0" borderId="50" xfId="0" applyFont="1" applyBorder="1" applyAlignment="1">
      <alignment vertical="top"/>
    </xf>
    <xf numFmtId="0" fontId="16" fillId="0" borderId="0" xfId="0" applyFont="1" applyAlignment="1">
      <alignment horizontal="center" vertical="top" wrapText="1"/>
    </xf>
    <xf numFmtId="0" fontId="34" fillId="0" borderId="0" xfId="0" applyFont="1" applyAlignment="1">
      <alignment vertical="top"/>
    </xf>
    <xf numFmtId="0" fontId="33" fillId="0" borderId="0" xfId="0" applyFont="1" applyAlignment="1">
      <alignment vertical="top"/>
    </xf>
    <xf numFmtId="0" fontId="34" fillId="0" borderId="0" xfId="0" applyFont="1" applyBorder="1" applyAlignment="1">
      <alignment vertical="top"/>
    </xf>
    <xf numFmtId="0" fontId="33" fillId="0" borderId="0" xfId="0" applyFont="1" applyBorder="1" applyAlignment="1">
      <alignment vertical="top"/>
    </xf>
    <xf numFmtId="0" fontId="33" fillId="0" borderId="0" xfId="0" applyFont="1" applyFill="1" applyAlignment="1">
      <alignment vertical="top"/>
    </xf>
    <xf numFmtId="0" fontId="33" fillId="10" borderId="0" xfId="0" applyFont="1" applyFill="1" applyAlignment="1">
      <alignment vertical="top"/>
    </xf>
    <xf numFmtId="0" fontId="17" fillId="0" borderId="13" xfId="0" applyFont="1" applyBorder="1" applyAlignment="1">
      <alignment horizontal="center" vertical="top"/>
    </xf>
    <xf numFmtId="0" fontId="17" fillId="0" borderId="15" xfId="0" applyFont="1" applyBorder="1" applyAlignment="1">
      <alignment horizontal="center" vertical="top"/>
    </xf>
    <xf numFmtId="0" fontId="17" fillId="0" borderId="33" xfId="0" quotePrefix="1" applyFont="1" applyBorder="1" applyAlignment="1">
      <alignment horizontal="center" vertical="top"/>
    </xf>
    <xf numFmtId="0" fontId="17" fillId="0" borderId="13" xfId="0" quotePrefix="1" applyFont="1" applyBorder="1" applyAlignment="1">
      <alignment horizontal="center" vertical="top"/>
    </xf>
    <xf numFmtId="0" fontId="17" fillId="0" borderId="15" xfId="0" quotePrefix="1" applyFont="1" applyBorder="1" applyAlignment="1">
      <alignment horizontal="center" vertical="top"/>
    </xf>
    <xf numFmtId="0" fontId="17" fillId="2" borderId="15" xfId="0" quotePrefix="1" applyFont="1" applyFill="1" applyBorder="1" applyAlignment="1">
      <alignment horizontal="center" vertical="top"/>
    </xf>
    <xf numFmtId="0" fontId="17" fillId="2" borderId="33" xfId="0" quotePrefix="1" applyFont="1" applyFill="1" applyBorder="1" applyAlignment="1">
      <alignment horizontal="center" vertical="top"/>
    </xf>
    <xf numFmtId="0" fontId="17" fillId="2" borderId="13" xfId="0" quotePrefix="1" applyFont="1" applyFill="1" applyBorder="1" applyAlignment="1">
      <alignment horizontal="center" vertical="top"/>
    </xf>
    <xf numFmtId="43" fontId="17" fillId="22" borderId="15" xfId="1" quotePrefix="1" applyFont="1" applyFill="1" applyBorder="1" applyAlignment="1">
      <alignment horizontal="center" vertical="top"/>
    </xf>
    <xf numFmtId="3" fontId="40" fillId="0" borderId="0" xfId="0" applyNumberFormat="1" applyFont="1"/>
    <xf numFmtId="0" fontId="40" fillId="0" borderId="0" xfId="0" applyFont="1"/>
    <xf numFmtId="43" fontId="22" fillId="2" borderId="122" xfId="1" quotePrefix="1" applyFont="1" applyFill="1" applyBorder="1" applyAlignment="1">
      <alignment vertical="center"/>
    </xf>
    <xf numFmtId="43" fontId="22" fillId="22" borderId="122" xfId="1" quotePrefix="1" applyFont="1" applyFill="1" applyBorder="1" applyAlignment="1">
      <alignment vertical="center"/>
    </xf>
    <xf numFmtId="3" fontId="22" fillId="2" borderId="131" xfId="0" quotePrefix="1" applyNumberFormat="1" applyFont="1" applyFill="1" applyBorder="1" applyAlignment="1">
      <alignment vertical="center"/>
    </xf>
    <xf numFmtId="43" fontId="22" fillId="2" borderId="131" xfId="1" quotePrefix="1" applyFont="1" applyFill="1" applyBorder="1" applyAlignment="1">
      <alignment vertical="center"/>
    </xf>
    <xf numFmtId="43" fontId="22" fillId="2" borderId="49" xfId="1" quotePrefix="1" applyFont="1" applyFill="1" applyBorder="1" applyAlignment="1">
      <alignment vertical="top"/>
    </xf>
    <xf numFmtId="43" fontId="22" fillId="2" borderId="17" xfId="1" quotePrefix="1" applyFont="1" applyFill="1" applyBorder="1" applyAlignment="1">
      <alignment vertical="top"/>
    </xf>
    <xf numFmtId="43" fontId="22" fillId="2" borderId="15" xfId="1" quotePrefix="1" applyFont="1" applyFill="1" applyBorder="1" applyAlignment="1">
      <alignment vertical="top"/>
    </xf>
    <xf numFmtId="43" fontId="22" fillId="22" borderId="17" xfId="1" quotePrefix="1" applyFont="1" applyFill="1" applyBorder="1" applyAlignment="1">
      <alignment vertical="top"/>
    </xf>
    <xf numFmtId="43" fontId="22" fillId="0" borderId="35" xfId="1" applyFont="1" applyFill="1" applyBorder="1" applyAlignment="1">
      <alignment horizontal="right" vertical="center"/>
    </xf>
    <xf numFmtId="3" fontId="5" fillId="12" borderId="109" xfId="0" applyNumberFormat="1" applyFont="1" applyFill="1" applyBorder="1" applyAlignment="1">
      <alignment vertical="center"/>
    </xf>
    <xf numFmtId="43" fontId="5" fillId="12" borderId="63" xfId="1" applyFont="1" applyFill="1" applyBorder="1" applyAlignment="1">
      <alignment vertical="center"/>
    </xf>
    <xf numFmtId="3" fontId="5" fillId="12" borderId="63" xfId="0" applyNumberFormat="1" applyFont="1" applyFill="1" applyBorder="1" applyAlignment="1">
      <alignment vertical="center"/>
    </xf>
    <xf numFmtId="3" fontId="5" fillId="12" borderId="62" xfId="0" applyNumberFormat="1" applyFont="1" applyFill="1" applyBorder="1" applyAlignment="1">
      <alignment vertical="center"/>
    </xf>
    <xf numFmtId="3" fontId="5" fillId="12" borderId="61" xfId="0" applyNumberFormat="1" applyFont="1" applyFill="1" applyBorder="1" applyAlignment="1">
      <alignment vertical="center"/>
    </xf>
    <xf numFmtId="3" fontId="34" fillId="0" borderId="0" xfId="0" applyNumberFormat="1" applyFont="1" applyAlignment="1">
      <alignment vertical="top"/>
    </xf>
    <xf numFmtId="0" fontId="6" fillId="5" borderId="65" xfId="2" applyFont="1" applyFill="1" applyBorder="1" applyAlignment="1">
      <alignment vertical="center"/>
    </xf>
    <xf numFmtId="3" fontId="22" fillId="5" borderId="74" xfId="0" applyNumberFormat="1" applyFont="1" applyFill="1" applyBorder="1" applyAlignment="1">
      <alignment vertical="center"/>
    </xf>
    <xf numFmtId="43" fontId="22" fillId="5" borderId="67" xfId="1" applyFont="1" applyFill="1" applyBorder="1" applyAlignment="1">
      <alignment vertical="center"/>
    </xf>
    <xf numFmtId="3" fontId="22" fillId="5" borderId="67" xfId="0" applyNumberFormat="1" applyFont="1" applyFill="1" applyBorder="1" applyAlignment="1">
      <alignment vertical="center"/>
    </xf>
    <xf numFmtId="3" fontId="22" fillId="5" borderId="66" xfId="0" applyNumberFormat="1" applyFont="1" applyFill="1" applyBorder="1" applyAlignment="1">
      <alignment vertical="center"/>
    </xf>
    <xf numFmtId="3" fontId="22" fillId="5" borderId="65" xfId="0" applyNumberFormat="1" applyFont="1" applyFill="1" applyBorder="1" applyAlignment="1">
      <alignment vertical="center"/>
    </xf>
    <xf numFmtId="0" fontId="29" fillId="13" borderId="0" xfId="0" applyFont="1" applyFill="1" applyAlignment="1">
      <alignment vertical="center"/>
    </xf>
    <xf numFmtId="0" fontId="7" fillId="5" borderId="65" xfId="2" applyFont="1" applyFill="1" applyBorder="1" applyAlignment="1">
      <alignment vertical="center"/>
    </xf>
    <xf numFmtId="3" fontId="25" fillId="11" borderId="74" xfId="0" applyNumberFormat="1" applyFont="1" applyFill="1" applyBorder="1" applyAlignment="1">
      <alignment vertical="center"/>
    </xf>
    <xf numFmtId="43" fontId="25" fillId="11" borderId="67" xfId="1" applyFont="1" applyFill="1" applyBorder="1" applyAlignment="1">
      <alignment vertical="center"/>
    </xf>
    <xf numFmtId="3" fontId="25" fillId="11" borderId="67" xfId="0" applyNumberFormat="1" applyFont="1" applyFill="1" applyBorder="1" applyAlignment="1">
      <alignment vertical="center"/>
    </xf>
    <xf numFmtId="3" fontId="25" fillId="11" borderId="66" xfId="0" applyNumberFormat="1" applyFont="1" applyFill="1" applyBorder="1" applyAlignment="1">
      <alignment vertical="center"/>
    </xf>
    <xf numFmtId="3" fontId="25" fillId="11" borderId="65" xfId="0" applyNumberFormat="1" applyFont="1" applyFill="1" applyBorder="1" applyAlignment="1">
      <alignment vertical="center"/>
    </xf>
    <xf numFmtId="0" fontId="50" fillId="0" borderId="0" xfId="0" applyFont="1" applyAlignment="1">
      <alignment vertical="top"/>
    </xf>
    <xf numFmtId="165" fontId="22" fillId="5" borderId="67" xfId="0" applyNumberFormat="1" applyFont="1" applyFill="1" applyBorder="1" applyAlignment="1">
      <alignment vertical="center"/>
    </xf>
    <xf numFmtId="165" fontId="25" fillId="11" borderId="67" xfId="0" applyNumberFormat="1" applyFont="1" applyFill="1" applyBorder="1" applyAlignment="1">
      <alignment vertical="center"/>
    </xf>
    <xf numFmtId="0" fontId="29" fillId="13" borderId="0" xfId="0" applyFont="1" applyFill="1" applyAlignment="1">
      <alignment vertical="top"/>
    </xf>
    <xf numFmtId="0" fontId="29" fillId="4" borderId="66" xfId="0" applyFont="1" applyFill="1" applyBorder="1" applyAlignment="1">
      <alignment vertical="top" wrapText="1"/>
    </xf>
    <xf numFmtId="3" fontId="15" fillId="4" borderId="74" xfId="0" applyNumberFormat="1" applyFont="1" applyFill="1" applyBorder="1" applyAlignment="1">
      <alignment vertical="top"/>
    </xf>
    <xf numFmtId="43" fontId="15" fillId="4" borderId="67" xfId="1" applyFont="1" applyFill="1" applyBorder="1" applyAlignment="1">
      <alignment vertical="top"/>
    </xf>
    <xf numFmtId="0" fontId="25" fillId="5" borderId="71" xfId="0" applyFont="1" applyFill="1" applyBorder="1" applyAlignment="1">
      <alignment vertical="top" wrapText="1"/>
    </xf>
    <xf numFmtId="3" fontId="25" fillId="11" borderId="75" xfId="0" applyNumberFormat="1" applyFont="1" applyFill="1" applyBorder="1" applyAlignment="1">
      <alignment vertical="center"/>
    </xf>
    <xf numFmtId="43" fontId="25" fillId="11" borderId="73" xfId="1" applyFont="1" applyFill="1" applyBorder="1" applyAlignment="1">
      <alignment vertical="center"/>
    </xf>
    <xf numFmtId="3" fontId="25" fillId="11" borderId="73" xfId="0" applyNumberFormat="1" applyFont="1" applyFill="1" applyBorder="1" applyAlignment="1">
      <alignment vertical="center"/>
    </xf>
    <xf numFmtId="3" fontId="25" fillId="11" borderId="72" xfId="0" applyNumberFormat="1" applyFont="1" applyFill="1" applyBorder="1" applyAlignment="1">
      <alignment vertical="center"/>
    </xf>
    <xf numFmtId="3" fontId="25" fillId="11" borderId="71" xfId="0" applyNumberFormat="1" applyFont="1" applyFill="1" applyBorder="1" applyAlignment="1">
      <alignment vertical="center"/>
    </xf>
    <xf numFmtId="0" fontId="5" fillId="7" borderId="54" xfId="0" applyFont="1" applyFill="1" applyBorder="1" applyAlignment="1">
      <alignment vertical="center" wrapText="1"/>
    </xf>
    <xf numFmtId="0" fontId="34" fillId="7" borderId="18" xfId="0" applyFont="1" applyFill="1" applyBorder="1" applyAlignment="1">
      <alignment horizontal="center" vertical="center" wrapText="1"/>
    </xf>
    <xf numFmtId="0" fontId="7" fillId="7" borderId="53" xfId="0" applyFont="1" applyFill="1" applyBorder="1" applyAlignment="1">
      <alignment vertical="top"/>
    </xf>
    <xf numFmtId="43" fontId="7" fillId="7" borderId="54" xfId="1" applyFont="1" applyFill="1" applyBorder="1" applyAlignment="1">
      <alignment vertical="top"/>
    </xf>
    <xf numFmtId="0" fontId="7" fillId="7" borderId="54" xfId="0" applyFont="1" applyFill="1" applyBorder="1" applyAlignment="1">
      <alignment vertical="top"/>
    </xf>
    <xf numFmtId="0" fontId="7" fillId="7" borderId="18" xfId="0" applyFont="1" applyFill="1" applyBorder="1" applyAlignment="1">
      <alignment vertical="top"/>
    </xf>
    <xf numFmtId="0" fontId="7" fillId="7" borderId="115" xfId="0" applyFont="1" applyFill="1" applyBorder="1" applyAlignment="1">
      <alignment vertical="top"/>
    </xf>
    <xf numFmtId="165" fontId="7" fillId="7" borderId="54" xfId="0" applyNumberFormat="1" applyFont="1" applyFill="1" applyBorder="1" applyAlignment="1">
      <alignment vertical="top"/>
    </xf>
    <xf numFmtId="3" fontId="7" fillId="7" borderId="54" xfId="0" applyNumberFormat="1" applyFont="1" applyFill="1" applyBorder="1" applyAlignment="1">
      <alignment vertical="top"/>
    </xf>
    <xf numFmtId="0" fontId="15" fillId="4" borderId="80" xfId="2" applyFont="1" applyFill="1" applyBorder="1" applyAlignment="1">
      <alignment horizontal="left" vertical="center"/>
    </xf>
    <xf numFmtId="0" fontId="20" fillId="4" borderId="8" xfId="2" applyFont="1" applyFill="1" applyBorder="1" applyAlignment="1">
      <alignment horizontal="left" vertical="center"/>
    </xf>
    <xf numFmtId="3" fontId="5" fillId="4" borderId="9" xfId="2" applyNumberFormat="1" applyFont="1" applyFill="1" applyBorder="1" applyAlignment="1"/>
    <xf numFmtId="43" fontId="5" fillId="4" borderId="80" xfId="1" applyFont="1" applyFill="1" applyBorder="1" applyAlignment="1"/>
    <xf numFmtId="43" fontId="5" fillId="4" borderId="10" xfId="1" applyFont="1" applyFill="1" applyBorder="1" applyAlignment="1"/>
    <xf numFmtId="3" fontId="5" fillId="4" borderId="10" xfId="2" applyNumberFormat="1" applyFont="1" applyFill="1" applyBorder="1" applyAlignment="1"/>
    <xf numFmtId="3" fontId="5" fillId="4" borderId="8" xfId="2" applyNumberFormat="1" applyFont="1" applyFill="1" applyBorder="1" applyAlignment="1"/>
    <xf numFmtId="43" fontId="5" fillId="4" borderId="8" xfId="1" applyFont="1" applyFill="1" applyBorder="1" applyAlignment="1"/>
    <xf numFmtId="3" fontId="5" fillId="4" borderId="80" xfId="2" applyNumberFormat="1" applyFont="1" applyFill="1" applyBorder="1" applyAlignment="1"/>
    <xf numFmtId="165" fontId="5" fillId="4" borderId="80" xfId="2" applyNumberFormat="1" applyFont="1" applyFill="1" applyBorder="1" applyAlignment="1"/>
    <xf numFmtId="3" fontId="22" fillId="2" borderId="10" xfId="2" applyNumberFormat="1" applyFont="1" applyFill="1" applyBorder="1" applyAlignment="1">
      <alignment vertical="top" wrapText="1"/>
    </xf>
    <xf numFmtId="3" fontId="6" fillId="2" borderId="65" xfId="2" applyNumberFormat="1" applyFont="1" applyFill="1" applyBorder="1" applyAlignment="1">
      <alignment horizontal="right" vertical="center"/>
    </xf>
    <xf numFmtId="3" fontId="16" fillId="0" borderId="9" xfId="3" applyNumberFormat="1" applyFont="1" applyFill="1" applyBorder="1" applyAlignment="1">
      <alignment vertical="center"/>
    </xf>
    <xf numFmtId="3" fontId="7" fillId="0" borderId="8" xfId="2" applyNumberFormat="1" applyFont="1" applyFill="1" applyBorder="1" applyAlignment="1">
      <alignment horizontal="right" vertical="center"/>
    </xf>
    <xf numFmtId="3" fontId="7" fillId="0" borderId="69" xfId="0" applyNumberFormat="1" applyFont="1" applyFill="1" applyBorder="1" applyAlignment="1">
      <alignment vertical="top"/>
    </xf>
    <xf numFmtId="0" fontId="7" fillId="2" borderId="10" xfId="2" applyFont="1" applyFill="1" applyBorder="1" applyAlignment="1">
      <alignment vertical="top" wrapText="1"/>
    </xf>
    <xf numFmtId="43" fontId="7" fillId="0" borderId="80" xfId="1" applyFont="1" applyFill="1" applyBorder="1" applyAlignment="1">
      <alignment horizontal="right" vertical="center"/>
    </xf>
    <xf numFmtId="165" fontId="7" fillId="0" borderId="10" xfId="2" applyNumberFormat="1" applyFont="1" applyFill="1" applyBorder="1" applyAlignment="1">
      <alignment horizontal="right" vertical="center"/>
    </xf>
    <xf numFmtId="3" fontId="7" fillId="0" borderId="10" xfId="2" applyNumberFormat="1" applyFont="1" applyFill="1" applyBorder="1" applyAlignment="1">
      <alignment horizontal="right" vertical="center"/>
    </xf>
    <xf numFmtId="3" fontId="5" fillId="4" borderId="101" xfId="2" applyNumberFormat="1" applyFont="1" applyFill="1" applyBorder="1" applyAlignment="1"/>
    <xf numFmtId="3" fontId="5" fillId="4" borderId="107" xfId="2" applyNumberFormat="1" applyFont="1" applyFill="1" applyBorder="1" applyAlignment="1"/>
    <xf numFmtId="0" fontId="22" fillId="2" borderId="65" xfId="2" applyFont="1" applyFill="1" applyBorder="1" applyAlignment="1">
      <alignment vertical="center"/>
    </xf>
    <xf numFmtId="3" fontId="43" fillId="0" borderId="101" xfId="3" applyNumberFormat="1" applyFont="1" applyFill="1" applyBorder="1" applyAlignment="1">
      <alignment vertical="center"/>
    </xf>
    <xf numFmtId="3" fontId="43" fillId="0" borderId="11" xfId="3" applyNumberFormat="1" applyFont="1" applyFill="1" applyBorder="1" applyAlignment="1">
      <alignment vertical="center"/>
    </xf>
    <xf numFmtId="165" fontId="43" fillId="0" borderId="10" xfId="3" applyNumberFormat="1" applyFont="1" applyFill="1" applyBorder="1" applyAlignment="1">
      <alignment vertical="center"/>
    </xf>
    <xf numFmtId="3" fontId="43" fillId="0" borderId="10" xfId="3" applyNumberFormat="1" applyFont="1" applyFill="1" applyBorder="1" applyAlignment="1">
      <alignment vertical="center"/>
    </xf>
    <xf numFmtId="3" fontId="16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0" fontId="7" fillId="2" borderId="71" xfId="2" applyFont="1" applyFill="1" applyBorder="1" applyAlignment="1">
      <alignment vertical="top" wrapText="1"/>
    </xf>
    <xf numFmtId="3" fontId="7" fillId="0" borderId="104" xfId="0" applyNumberFormat="1" applyFont="1" applyFill="1" applyBorder="1" applyAlignment="1">
      <alignment vertical="top"/>
    </xf>
    <xf numFmtId="165" fontId="7" fillId="2" borderId="71" xfId="2" applyNumberFormat="1" applyFont="1" applyFill="1" applyBorder="1" applyAlignment="1">
      <alignment horizontal="right" vertical="center"/>
    </xf>
    <xf numFmtId="0" fontId="44" fillId="0" borderId="84" xfId="0" applyFont="1" applyBorder="1" applyAlignment="1">
      <alignment vertical="top"/>
    </xf>
    <xf numFmtId="43" fontId="22" fillId="2" borderId="123" xfId="1" quotePrefix="1" applyFont="1" applyFill="1" applyBorder="1" applyAlignment="1">
      <alignment vertical="top"/>
    </xf>
    <xf numFmtId="3" fontId="22" fillId="2" borderId="14" xfId="0" quotePrefix="1" applyNumberFormat="1" applyFont="1" applyFill="1" applyBorder="1" applyAlignment="1">
      <alignment vertical="top"/>
    </xf>
    <xf numFmtId="3" fontId="22" fillId="2" borderId="13" xfId="0" quotePrefix="1" applyNumberFormat="1" applyFont="1" applyFill="1" applyBorder="1" applyAlignment="1">
      <alignment vertical="top"/>
    </xf>
    <xf numFmtId="0" fontId="44" fillId="0" borderId="52" xfId="0" applyFont="1" applyBorder="1" applyAlignment="1">
      <alignment vertical="top"/>
    </xf>
    <xf numFmtId="0" fontId="29" fillId="4" borderId="29" xfId="0" applyFont="1" applyFill="1" applyBorder="1" applyAlignment="1">
      <alignment vertical="top"/>
    </xf>
    <xf numFmtId="3" fontId="15" fillId="4" borderId="28" xfId="0" applyNumberFormat="1" applyFont="1" applyFill="1" applyBorder="1" applyAlignment="1">
      <alignment vertical="top"/>
    </xf>
    <xf numFmtId="3" fontId="15" fillId="4" borderId="29" xfId="0" applyNumberFormat="1" applyFont="1" applyFill="1" applyBorder="1" applyAlignment="1">
      <alignment vertical="top"/>
    </xf>
    <xf numFmtId="164" fontId="15" fillId="4" borderId="30" xfId="0" applyNumberFormat="1" applyFont="1" applyFill="1" applyBorder="1" applyAlignment="1">
      <alignment vertical="top"/>
    </xf>
    <xf numFmtId="3" fontId="22" fillId="16" borderId="5" xfId="2" applyNumberFormat="1" applyFont="1" applyFill="1" applyBorder="1" applyAlignment="1">
      <alignment vertical="top" wrapText="1"/>
    </xf>
    <xf numFmtId="3" fontId="22" fillId="16" borderId="23" xfId="0" applyNumberFormat="1" applyFont="1" applyFill="1" applyBorder="1" applyAlignment="1">
      <alignment vertical="top"/>
    </xf>
    <xf numFmtId="3" fontId="22" fillId="16" borderId="5" xfId="0" applyNumberFormat="1" applyFont="1" applyFill="1" applyBorder="1" applyAlignment="1">
      <alignment vertical="top"/>
    </xf>
    <xf numFmtId="3" fontId="22" fillId="16" borderId="24" xfId="0" applyNumberFormat="1" applyFont="1" applyFill="1" applyBorder="1" applyAlignment="1">
      <alignment vertical="top"/>
    </xf>
    <xf numFmtId="3" fontId="22" fillId="16" borderId="25" xfId="0" applyNumberFormat="1" applyFont="1" applyFill="1" applyBorder="1" applyAlignment="1">
      <alignment vertical="top"/>
    </xf>
    <xf numFmtId="164" fontId="22" fillId="16" borderId="5" xfId="0" applyNumberFormat="1" applyFont="1" applyFill="1" applyBorder="1" applyAlignment="1">
      <alignment vertical="top"/>
    </xf>
    <xf numFmtId="3" fontId="33" fillId="0" borderId="0" xfId="0" applyNumberFormat="1" applyFont="1" applyFill="1" applyAlignment="1">
      <alignment vertical="top"/>
    </xf>
    <xf numFmtId="0" fontId="25" fillId="16" borderId="5" xfId="0" applyFont="1" applyFill="1" applyBorder="1" applyAlignment="1">
      <alignment vertical="top" wrapText="1"/>
    </xf>
    <xf numFmtId="3" fontId="25" fillId="16" borderId="23" xfId="0" applyNumberFormat="1" applyFont="1" applyFill="1" applyBorder="1" applyAlignment="1">
      <alignment vertical="top"/>
    </xf>
    <xf numFmtId="3" fontId="25" fillId="16" borderId="5" xfId="0" applyNumberFormat="1" applyFont="1" applyFill="1" applyBorder="1" applyAlignment="1">
      <alignment vertical="top"/>
    </xf>
    <xf numFmtId="3" fontId="25" fillId="16" borderId="24" xfId="0" applyNumberFormat="1" applyFont="1" applyFill="1" applyBorder="1" applyAlignment="1">
      <alignment vertical="top"/>
    </xf>
    <xf numFmtId="3" fontId="25" fillId="16" borderId="25" xfId="0" applyNumberFormat="1" applyFont="1" applyFill="1" applyBorder="1" applyAlignment="1">
      <alignment vertical="top"/>
    </xf>
    <xf numFmtId="164" fontId="25" fillId="16" borderId="5" xfId="0" applyNumberFormat="1" applyFont="1" applyFill="1" applyBorder="1" applyAlignment="1">
      <alignment vertical="top"/>
    </xf>
    <xf numFmtId="43" fontId="25" fillId="16" borderId="5" xfId="1" applyFont="1" applyFill="1" applyBorder="1" applyAlignment="1">
      <alignment vertical="top"/>
    </xf>
    <xf numFmtId="0" fontId="22" fillId="16" borderId="5" xfId="2" applyFont="1" applyFill="1" applyBorder="1" applyAlignment="1">
      <alignment vertical="top"/>
    </xf>
    <xf numFmtId="0" fontId="25" fillId="16" borderId="5" xfId="2" applyFont="1" applyFill="1" applyBorder="1" applyAlignment="1">
      <alignment vertical="center"/>
    </xf>
    <xf numFmtId="3" fontId="25" fillId="16" borderId="26" xfId="0" applyNumberFormat="1" applyFont="1" applyFill="1" applyBorder="1" applyAlignment="1">
      <alignment vertical="top"/>
    </xf>
    <xf numFmtId="3" fontId="15" fillId="5" borderId="8" xfId="0" applyNumberFormat="1" applyFont="1" applyFill="1" applyBorder="1" applyAlignment="1">
      <alignment horizontal="center" vertical="center" wrapText="1"/>
    </xf>
    <xf numFmtId="0" fontId="36" fillId="4" borderId="25" xfId="0" applyFont="1" applyFill="1" applyBorder="1" applyAlignment="1">
      <alignment horizontal="center" vertical="center"/>
    </xf>
    <xf numFmtId="3" fontId="15" fillId="4" borderId="23" xfId="0" applyNumberFormat="1" applyFont="1" applyFill="1" applyBorder="1" applyAlignment="1">
      <alignment vertical="top"/>
    </xf>
    <xf numFmtId="164" fontId="15" fillId="4" borderId="5" xfId="0" applyNumberFormat="1" applyFont="1" applyFill="1" applyBorder="1" applyAlignment="1">
      <alignment vertical="top"/>
    </xf>
    <xf numFmtId="0" fontId="36" fillId="16" borderId="25" xfId="0" applyFont="1" applyFill="1" applyBorder="1" applyAlignment="1">
      <alignment horizontal="center" vertical="center"/>
    </xf>
    <xf numFmtId="3" fontId="15" fillId="16" borderId="23" xfId="0" applyNumberFormat="1" applyFont="1" applyFill="1" applyBorder="1" applyAlignment="1">
      <alignment vertical="top"/>
    </xf>
    <xf numFmtId="3" fontId="15" fillId="16" borderId="5" xfId="0" applyNumberFormat="1" applyFont="1" applyFill="1" applyBorder="1" applyAlignment="1">
      <alignment vertical="top"/>
    </xf>
    <xf numFmtId="3" fontId="15" fillId="16" borderId="24" xfId="0" applyNumberFormat="1" applyFont="1" applyFill="1" applyBorder="1" applyAlignment="1">
      <alignment vertical="top"/>
    </xf>
    <xf numFmtId="3" fontId="15" fillId="16" borderId="25" xfId="0" applyNumberFormat="1" applyFont="1" applyFill="1" applyBorder="1" applyAlignment="1">
      <alignment vertical="top"/>
    </xf>
    <xf numFmtId="164" fontId="15" fillId="16" borderId="5" xfId="0" applyNumberFormat="1" applyFont="1" applyFill="1" applyBorder="1" applyAlignment="1">
      <alignment vertical="top"/>
    </xf>
    <xf numFmtId="43" fontId="25" fillId="16" borderId="24" xfId="1" applyFont="1" applyFill="1" applyBorder="1" applyAlignment="1">
      <alignment vertical="top"/>
    </xf>
    <xf numFmtId="43" fontId="25" fillId="16" borderId="25" xfId="1" applyFont="1" applyFill="1" applyBorder="1" applyAlignment="1">
      <alignment vertical="top"/>
    </xf>
    <xf numFmtId="43" fontId="15" fillId="16" borderId="23" xfId="1" applyFont="1" applyFill="1" applyBorder="1" applyAlignment="1">
      <alignment vertical="top"/>
    </xf>
    <xf numFmtId="43" fontId="15" fillId="16" borderId="5" xfId="1" applyFont="1" applyFill="1" applyBorder="1" applyAlignment="1">
      <alignment vertical="top"/>
    </xf>
    <xf numFmtId="0" fontId="22" fillId="16" borderId="5" xfId="2" applyFont="1" applyFill="1" applyBorder="1" applyAlignment="1">
      <alignment vertical="center"/>
    </xf>
    <xf numFmtId="0" fontId="25" fillId="16" borderId="35" xfId="2" applyFont="1" applyFill="1" applyBorder="1" applyAlignment="1">
      <alignment vertical="center"/>
    </xf>
    <xf numFmtId="3" fontId="25" fillId="16" borderId="34" xfId="0" applyNumberFormat="1" applyFont="1" applyFill="1" applyBorder="1" applyAlignment="1">
      <alignment vertical="top"/>
    </xf>
    <xf numFmtId="3" fontId="25" fillId="16" borderId="46" xfId="0" applyNumberFormat="1" applyFont="1" applyFill="1" applyBorder="1" applyAlignment="1">
      <alignment vertical="top"/>
    </xf>
    <xf numFmtId="3" fontId="25" fillId="16" borderId="35" xfId="0" applyNumberFormat="1" applyFont="1" applyFill="1" applyBorder="1" applyAlignment="1">
      <alignment vertical="top"/>
    </xf>
    <xf numFmtId="3" fontId="25" fillId="16" borderId="137" xfId="0" applyNumberFormat="1" applyFont="1" applyFill="1" applyBorder="1" applyAlignment="1">
      <alignment vertical="top"/>
    </xf>
    <xf numFmtId="164" fontId="25" fillId="16" borderId="35" xfId="0" applyNumberFormat="1" applyFont="1" applyFill="1" applyBorder="1" applyAlignment="1">
      <alignment vertical="top"/>
    </xf>
    <xf numFmtId="0" fontId="5" fillId="14" borderId="22" xfId="0" applyFont="1" applyFill="1" applyBorder="1" applyAlignment="1">
      <alignment vertical="center" wrapText="1"/>
    </xf>
    <xf numFmtId="0" fontId="7" fillId="14" borderId="60" xfId="0" applyFont="1" applyFill="1" applyBorder="1" applyAlignment="1">
      <alignment horizontal="center" vertical="center" wrapText="1"/>
    </xf>
    <xf numFmtId="0" fontId="7" fillId="14" borderId="106" xfId="0" applyFont="1" applyFill="1" applyBorder="1" applyAlignment="1">
      <alignment horizontal="center" vertical="center" wrapText="1"/>
    </xf>
    <xf numFmtId="0" fontId="7" fillId="14" borderId="84" xfId="0" applyFont="1" applyFill="1" applyBorder="1" applyAlignment="1">
      <alignment vertical="top"/>
    </xf>
    <xf numFmtId="0" fontId="25" fillId="14" borderId="9" xfId="0" applyFont="1" applyFill="1" applyBorder="1" applyAlignment="1">
      <alignment vertical="top"/>
    </xf>
    <xf numFmtId="165" fontId="7" fillId="14" borderId="22" xfId="0" applyNumberFormat="1" applyFont="1" applyFill="1" applyBorder="1" applyAlignment="1">
      <alignment vertical="top"/>
    </xf>
    <xf numFmtId="3" fontId="7" fillId="14" borderId="22" xfId="0" applyNumberFormat="1" applyFont="1" applyFill="1" applyBorder="1" applyAlignment="1">
      <alignment vertical="top"/>
    </xf>
    <xf numFmtId="3" fontId="5" fillId="4" borderId="10" xfId="0" applyNumberFormat="1" applyFont="1" applyFill="1" applyBorder="1" applyAlignment="1">
      <alignment vertical="top"/>
    </xf>
    <xf numFmtId="43" fontId="5" fillId="4" borderId="10" xfId="1" applyFont="1" applyFill="1" applyBorder="1" applyAlignment="1">
      <alignment vertical="top"/>
    </xf>
    <xf numFmtId="3" fontId="5" fillId="4" borderId="66" xfId="0" applyNumberFormat="1" applyFont="1" applyFill="1" applyBorder="1" applyAlignment="1">
      <alignment vertical="top"/>
    </xf>
    <xf numFmtId="3" fontId="15" fillId="4" borderId="101" xfId="0" applyNumberFormat="1" applyFont="1" applyFill="1" applyBorder="1" applyAlignment="1">
      <alignment vertical="top"/>
    </xf>
    <xf numFmtId="43" fontId="15" fillId="4" borderId="65" xfId="1" applyFont="1" applyFill="1" applyBorder="1" applyAlignment="1">
      <alignment horizontal="right" vertical="top"/>
    </xf>
    <xf numFmtId="43" fontId="15" fillId="4" borderId="102" xfId="1" applyFont="1" applyFill="1" applyBorder="1" applyAlignment="1">
      <alignment vertical="top"/>
    </xf>
    <xf numFmtId="3" fontId="6" fillId="2" borderId="65" xfId="2" applyNumberFormat="1" applyFont="1" applyFill="1" applyBorder="1" applyAlignment="1">
      <alignment wrapText="1"/>
    </xf>
    <xf numFmtId="3" fontId="6" fillId="0" borderId="102" xfId="0" applyNumberFormat="1" applyFont="1" applyFill="1" applyBorder="1" applyAlignment="1">
      <alignment vertical="top"/>
    </xf>
    <xf numFmtId="43" fontId="6" fillId="0" borderId="102" xfId="1" applyFont="1" applyFill="1" applyBorder="1" applyAlignment="1">
      <alignment vertical="top"/>
    </xf>
    <xf numFmtId="3" fontId="6" fillId="0" borderId="66" xfId="0" applyNumberFormat="1" applyFont="1" applyFill="1" applyBorder="1" applyAlignment="1">
      <alignment vertical="top"/>
    </xf>
    <xf numFmtId="3" fontId="22" fillId="0" borderId="101" xfId="0" applyNumberFormat="1" applyFont="1" applyFill="1" applyBorder="1" applyAlignment="1">
      <alignment vertical="top"/>
    </xf>
    <xf numFmtId="43" fontId="22" fillId="0" borderId="65" xfId="1" applyFont="1" applyFill="1" applyBorder="1" applyAlignment="1">
      <alignment horizontal="right" vertical="top"/>
    </xf>
    <xf numFmtId="43" fontId="22" fillId="0" borderId="65" xfId="1" applyFont="1" applyFill="1" applyBorder="1" applyAlignment="1">
      <alignment vertical="top"/>
    </xf>
    <xf numFmtId="0" fontId="7" fillId="0" borderId="15" xfId="0" applyFont="1" applyFill="1" applyBorder="1" applyAlignment="1">
      <alignment vertical="center"/>
    </xf>
    <xf numFmtId="3" fontId="47" fillId="0" borderId="70" xfId="0" applyNumberFormat="1" applyFont="1" applyFill="1" applyBorder="1" applyAlignment="1">
      <alignment vertical="top"/>
    </xf>
    <xf numFmtId="3" fontId="7" fillId="0" borderId="33" xfId="0" applyNumberFormat="1" applyFont="1" applyFill="1" applyBorder="1" applyAlignment="1">
      <alignment vertical="top"/>
    </xf>
    <xf numFmtId="43" fontId="25" fillId="0" borderId="15" xfId="1" applyFont="1" applyFill="1" applyBorder="1" applyAlignment="1">
      <alignment horizontal="right" vertical="top"/>
    </xf>
    <xf numFmtId="43" fontId="25" fillId="0" borderId="15" xfId="1" applyFont="1" applyFill="1" applyBorder="1" applyAlignment="1">
      <alignment vertical="top"/>
    </xf>
    <xf numFmtId="0" fontId="7" fillId="14" borderId="22" xfId="0" applyFont="1" applyFill="1" applyBorder="1" applyAlignment="1">
      <alignment vertical="top"/>
    </xf>
    <xf numFmtId="0" fontId="25" fillId="14" borderId="60" xfId="0" applyFont="1" applyFill="1" applyBorder="1" applyAlignment="1">
      <alignment vertical="top"/>
    </xf>
    <xf numFmtId="0" fontId="5" fillId="4" borderId="80" xfId="2" applyFont="1" applyFill="1" applyBorder="1" applyAlignment="1">
      <alignment horizontal="left" vertical="center"/>
    </xf>
    <xf numFmtId="3" fontId="5" fillId="4" borderId="101" xfId="0" applyNumberFormat="1" applyFont="1" applyFill="1" applyBorder="1" applyAlignment="1">
      <alignment vertical="top"/>
    </xf>
    <xf numFmtId="43" fontId="5" fillId="4" borderId="65" xfId="1" applyFont="1" applyFill="1" applyBorder="1" applyAlignment="1">
      <alignment vertical="top"/>
    </xf>
    <xf numFmtId="43" fontId="5" fillId="4" borderId="66" xfId="1" applyFont="1" applyFill="1" applyBorder="1" applyAlignment="1">
      <alignment vertical="top"/>
    </xf>
    <xf numFmtId="3" fontId="15" fillId="4" borderId="9" xfId="0" applyNumberFormat="1" applyFont="1" applyFill="1" applyBorder="1" applyAlignment="1">
      <alignment vertical="top"/>
    </xf>
    <xf numFmtId="3" fontId="6" fillId="2" borderId="10" xfId="2" applyNumberFormat="1" applyFont="1" applyFill="1" applyBorder="1" applyAlignment="1">
      <alignment wrapText="1"/>
    </xf>
    <xf numFmtId="43" fontId="6" fillId="0" borderId="66" xfId="1" applyFont="1" applyFill="1" applyBorder="1" applyAlignment="1">
      <alignment vertical="top"/>
    </xf>
    <xf numFmtId="0" fontId="7" fillId="0" borderId="71" xfId="0" applyFont="1" applyFill="1" applyBorder="1" applyAlignment="1">
      <alignment vertical="center"/>
    </xf>
    <xf numFmtId="3" fontId="47" fillId="0" borderId="13" xfId="0" applyNumberFormat="1" applyFont="1" applyFill="1" applyBorder="1" applyAlignment="1">
      <alignment vertical="top"/>
    </xf>
    <xf numFmtId="3" fontId="7" fillId="0" borderId="15" xfId="0" applyNumberFormat="1" applyFont="1" applyFill="1" applyBorder="1" applyAlignment="1">
      <alignment vertical="top"/>
    </xf>
    <xf numFmtId="43" fontId="7" fillId="0" borderId="72" xfId="1" applyFont="1" applyFill="1" applyBorder="1" applyAlignment="1">
      <alignment vertical="top"/>
    </xf>
    <xf numFmtId="0" fontId="5" fillId="14" borderId="22" xfId="0" applyFont="1" applyFill="1" applyBorder="1" applyAlignment="1">
      <alignment horizontal="left" vertical="center" wrapText="1"/>
    </xf>
    <xf numFmtId="0" fontId="7" fillId="14" borderId="62" xfId="0" applyFont="1" applyFill="1" applyBorder="1" applyAlignment="1">
      <alignment vertical="top"/>
    </xf>
    <xf numFmtId="164" fontId="22" fillId="0" borderId="5" xfId="0" applyNumberFormat="1" applyFont="1" applyFill="1" applyBorder="1" applyAlignment="1">
      <alignment vertical="top"/>
    </xf>
    <xf numFmtId="164" fontId="25" fillId="0" borderId="5" xfId="0" applyNumberFormat="1" applyFont="1" applyFill="1" applyBorder="1" applyAlignment="1">
      <alignment vertical="top"/>
    </xf>
    <xf numFmtId="164" fontId="15" fillId="2" borderId="5" xfId="0" applyNumberFormat="1" applyFont="1" applyFill="1" applyBorder="1" applyAlignment="1">
      <alignment vertical="top"/>
    </xf>
    <xf numFmtId="0" fontId="25" fillId="0" borderId="5" xfId="0" applyFont="1" applyFill="1" applyBorder="1" applyAlignment="1">
      <alignment vertical="top"/>
    </xf>
    <xf numFmtId="164" fontId="25" fillId="0" borderId="35" xfId="0" applyNumberFormat="1" applyFont="1" applyFill="1" applyBorder="1" applyAlignment="1">
      <alignment vertical="top"/>
    </xf>
    <xf numFmtId="0" fontId="33" fillId="0" borderId="0" xfId="0" applyFont="1" applyBorder="1" applyAlignment="1">
      <alignment horizontal="center" vertical="top" wrapText="1"/>
    </xf>
    <xf numFmtId="0" fontId="34" fillId="0" borderId="42" xfId="0" applyFont="1" applyBorder="1" applyAlignment="1">
      <alignment vertical="top"/>
    </xf>
    <xf numFmtId="0" fontId="33" fillId="0" borderId="21" xfId="0" applyFont="1" applyBorder="1" applyAlignment="1">
      <alignment vertical="top"/>
    </xf>
    <xf numFmtId="0" fontId="33" fillId="0" borderId="95" xfId="0" applyFont="1" applyBorder="1" applyAlignment="1">
      <alignment horizontal="center" vertical="top" wrapText="1"/>
    </xf>
    <xf numFmtId="0" fontId="34" fillId="0" borderId="50" xfId="0" applyFont="1" applyBorder="1" applyAlignment="1">
      <alignment vertical="top"/>
    </xf>
    <xf numFmtId="0" fontId="33" fillId="0" borderId="96" xfId="0" applyFont="1" applyBorder="1" applyAlignment="1">
      <alignment horizontal="center" vertical="top" wrapText="1"/>
    </xf>
    <xf numFmtId="0" fontId="34" fillId="0" borderId="49" xfId="0" applyFont="1" applyBorder="1" applyAlignment="1">
      <alignment vertical="top"/>
    </xf>
    <xf numFmtId="0" fontId="33" fillId="0" borderId="14" xfId="0" applyFont="1" applyBorder="1" applyAlignment="1">
      <alignment vertical="top"/>
    </xf>
    <xf numFmtId="0" fontId="33" fillId="0" borderId="100" xfId="0" applyFont="1" applyBorder="1" applyAlignment="1">
      <alignment horizontal="center" vertical="top" wrapText="1"/>
    </xf>
    <xf numFmtId="0" fontId="33" fillId="0" borderId="96" xfId="0" applyFont="1" applyBorder="1" applyAlignment="1">
      <alignment vertical="top"/>
    </xf>
    <xf numFmtId="0" fontId="33" fillId="0" borderId="0" xfId="0" applyFont="1" applyAlignment="1">
      <alignment horizontal="center" vertical="top" wrapText="1"/>
    </xf>
    <xf numFmtId="0" fontId="30" fillId="0" borderId="0" xfId="0" applyFont="1" applyFill="1" applyAlignment="1"/>
    <xf numFmtId="3" fontId="16" fillId="0" borderId="0" xfId="0" applyNumberFormat="1" applyFont="1" applyAlignment="1">
      <alignment vertical="top"/>
    </xf>
    <xf numFmtId="0" fontId="48" fillId="0" borderId="0" xfId="0" applyFont="1" applyFill="1" applyAlignment="1">
      <alignment vertical="top"/>
    </xf>
    <xf numFmtId="0" fontId="17" fillId="0" borderId="105" xfId="0" quotePrefix="1" applyFont="1" applyBorder="1" applyAlignment="1">
      <alignment horizontal="center" vertical="top"/>
    </xf>
    <xf numFmtId="0" fontId="17" fillId="15" borderId="51" xfId="0" quotePrefix="1" applyFont="1" applyFill="1" applyBorder="1" applyAlignment="1">
      <alignment horizontal="center" vertical="top"/>
    </xf>
    <xf numFmtId="0" fontId="17" fillId="15" borderId="40" xfId="0" quotePrefix="1" applyFont="1" applyFill="1" applyBorder="1" applyAlignment="1">
      <alignment horizontal="center" vertical="top"/>
    </xf>
    <xf numFmtId="0" fontId="17" fillId="15" borderId="38" xfId="0" quotePrefix="1" applyFont="1" applyFill="1" applyBorder="1" applyAlignment="1">
      <alignment horizontal="center" vertical="top"/>
    </xf>
    <xf numFmtId="0" fontId="17" fillId="15" borderId="52" xfId="0" quotePrefix="1" applyFont="1" applyFill="1" applyBorder="1" applyAlignment="1">
      <alignment horizontal="center" vertical="top"/>
    </xf>
    <xf numFmtId="0" fontId="17" fillId="15" borderId="105" xfId="0" quotePrefix="1" applyFont="1" applyFill="1" applyBorder="1" applyAlignment="1">
      <alignment horizontal="center" vertical="top"/>
    </xf>
    <xf numFmtId="0" fontId="29" fillId="0" borderId="19" xfId="0" applyFont="1" applyBorder="1" applyAlignment="1">
      <alignment vertical="top"/>
    </xf>
    <xf numFmtId="0" fontId="29" fillId="0" borderId="9" xfId="0" applyFont="1" applyBorder="1" applyAlignment="1">
      <alignment vertical="top"/>
    </xf>
    <xf numFmtId="0" fontId="30" fillId="0" borderId="120" xfId="0" quotePrefix="1" applyFont="1" applyBorder="1" applyAlignment="1">
      <alignment horizontal="center" vertical="top"/>
    </xf>
    <xf numFmtId="3" fontId="22" fillId="2" borderId="121" xfId="0" quotePrefix="1" applyNumberFormat="1" applyFont="1" applyFill="1" applyBorder="1" applyAlignment="1">
      <alignment vertical="top"/>
    </xf>
    <xf numFmtId="3" fontId="22" fillId="2" borderId="123" xfId="0" quotePrefix="1" applyNumberFormat="1" applyFont="1" applyFill="1" applyBorder="1" applyAlignment="1">
      <alignment vertical="top"/>
    </xf>
    <xf numFmtId="3" fontId="22" fillId="22" borderId="123" xfId="0" quotePrefix="1" applyNumberFormat="1" applyFont="1" applyFill="1" applyBorder="1" applyAlignment="1">
      <alignment vertical="top"/>
    </xf>
    <xf numFmtId="3" fontId="22" fillId="22" borderId="17" xfId="0" quotePrefix="1" applyNumberFormat="1" applyFont="1" applyFill="1" applyBorder="1" applyAlignment="1">
      <alignment vertical="top"/>
    </xf>
    <xf numFmtId="3" fontId="5" fillId="12" borderId="60" xfId="0" applyNumberFormat="1" applyFont="1" applyFill="1" applyBorder="1" applyAlignment="1">
      <alignment vertical="center"/>
    </xf>
    <xf numFmtId="3" fontId="50" fillId="0" borderId="0" xfId="0" applyNumberFormat="1" applyFont="1" applyAlignment="1">
      <alignment vertical="top"/>
    </xf>
    <xf numFmtId="3" fontId="22" fillId="5" borderId="64" xfId="0" applyNumberFormat="1" applyFont="1" applyFill="1" applyBorder="1" applyAlignment="1">
      <alignment vertical="center"/>
    </xf>
    <xf numFmtId="3" fontId="25" fillId="11" borderId="64" xfId="0" applyNumberFormat="1" applyFont="1" applyFill="1" applyBorder="1" applyAlignment="1">
      <alignment vertical="center"/>
    </xf>
    <xf numFmtId="0" fontId="25" fillId="5" borderId="65" xfId="0" applyFont="1" applyFill="1" applyBorder="1" applyAlignment="1">
      <alignment vertical="top" wrapText="1"/>
    </xf>
    <xf numFmtId="165" fontId="15" fillId="4" borderId="67" xfId="0" applyNumberFormat="1" applyFont="1" applyFill="1" applyBorder="1" applyAlignment="1">
      <alignment vertical="top"/>
    </xf>
    <xf numFmtId="3" fontId="25" fillId="11" borderId="70" xfId="0" applyNumberFormat="1" applyFont="1" applyFill="1" applyBorder="1" applyAlignment="1">
      <alignment vertical="center"/>
    </xf>
    <xf numFmtId="0" fontId="15" fillId="14" borderId="61" xfId="0" applyFont="1" applyFill="1" applyBorder="1" applyAlignment="1">
      <alignment vertical="center" wrapText="1"/>
    </xf>
    <xf numFmtId="165" fontId="25" fillId="14" borderId="61" xfId="0" applyNumberFormat="1" applyFont="1" applyFill="1" applyBorder="1" applyAlignment="1">
      <alignment vertical="top"/>
    </xf>
    <xf numFmtId="3" fontId="22" fillId="2" borderId="64" xfId="0" applyNumberFormat="1" applyFont="1" applyFill="1" applyBorder="1" applyAlignment="1">
      <alignment vertical="top"/>
    </xf>
    <xf numFmtId="165" fontId="22" fillId="2" borderId="65" xfId="0" applyNumberFormat="1" applyFont="1" applyFill="1" applyBorder="1" applyAlignment="1">
      <alignment vertical="top"/>
    </xf>
    <xf numFmtId="0" fontId="25" fillId="0" borderId="65" xfId="0" applyFont="1" applyFill="1" applyBorder="1" applyAlignment="1">
      <alignment vertical="top"/>
    </xf>
    <xf numFmtId="3" fontId="25" fillId="0" borderId="66" xfId="0" applyNumberFormat="1" applyFont="1" applyFill="1" applyBorder="1" applyAlignment="1">
      <alignment vertical="top"/>
    </xf>
    <xf numFmtId="165" fontId="25" fillId="0" borderId="65" xfId="0" applyNumberFormat="1" applyFont="1" applyFill="1" applyBorder="1" applyAlignment="1">
      <alignment horizontal="right" vertical="center"/>
    </xf>
    <xf numFmtId="165" fontId="22" fillId="0" borderId="65" xfId="0" applyNumberFormat="1" applyFont="1" applyFill="1" applyBorder="1" applyAlignment="1">
      <alignment vertical="center"/>
    </xf>
    <xf numFmtId="0" fontId="25" fillId="0" borderId="65" xfId="0" applyFont="1" applyFill="1" applyBorder="1" applyAlignment="1">
      <alignment horizontal="left" vertical="center" wrapText="1"/>
    </xf>
    <xf numFmtId="3" fontId="25" fillId="0" borderId="66" xfId="0" applyNumberFormat="1" applyFont="1" applyFill="1" applyBorder="1" applyAlignment="1">
      <alignment horizontal="right" vertical="center"/>
    </xf>
    <xf numFmtId="0" fontId="33" fillId="4" borderId="66" xfId="0" applyFont="1" applyFill="1" applyBorder="1" applyAlignment="1">
      <alignment horizontal="left" vertical="center" wrapText="1"/>
    </xf>
    <xf numFmtId="0" fontId="25" fillId="0" borderId="71" xfId="2" applyFont="1" applyFill="1" applyBorder="1" applyAlignment="1">
      <alignment vertical="center"/>
    </xf>
    <xf numFmtId="43" fontId="22" fillId="2" borderId="65" xfId="1" applyFont="1" applyFill="1" applyBorder="1" applyAlignment="1">
      <alignment vertical="top"/>
    </xf>
    <xf numFmtId="165" fontId="25" fillId="0" borderId="65" xfId="0" applyNumberFormat="1" applyFont="1" applyFill="1" applyBorder="1" applyAlignment="1">
      <alignment vertical="center"/>
    </xf>
    <xf numFmtId="43" fontId="25" fillId="0" borderId="65" xfId="1" applyFont="1" applyFill="1" applyBorder="1" applyAlignment="1">
      <alignment vertical="center"/>
    </xf>
    <xf numFmtId="43" fontId="22" fillId="0" borderId="65" xfId="1" applyFont="1" applyFill="1" applyBorder="1" applyAlignment="1">
      <alignment vertical="center"/>
    </xf>
    <xf numFmtId="0" fontId="25" fillId="14" borderId="61" xfId="0" applyFont="1" applyFill="1" applyBorder="1" applyAlignment="1">
      <alignment vertical="top"/>
    </xf>
    <xf numFmtId="0" fontId="25" fillId="0" borderId="65" xfId="2" applyFont="1" applyFill="1" applyBorder="1" applyAlignment="1">
      <alignment horizontal="left" vertical="center"/>
    </xf>
    <xf numFmtId="165" fontId="25" fillId="0" borderId="71" xfId="0" applyNumberFormat="1" applyFont="1" applyFill="1" applyBorder="1" applyAlignment="1">
      <alignment vertical="center"/>
    </xf>
    <xf numFmtId="43" fontId="25" fillId="0" borderId="71" xfId="1" applyFont="1" applyFill="1" applyBorder="1" applyAlignment="1">
      <alignment vertical="center"/>
    </xf>
    <xf numFmtId="0" fontId="7" fillId="14" borderId="82" xfId="0" applyFont="1" applyFill="1" applyBorder="1" applyAlignment="1">
      <alignment vertical="top"/>
    </xf>
    <xf numFmtId="165" fontId="25" fillId="14" borderId="80" xfId="0" applyNumberFormat="1" applyFont="1" applyFill="1" applyBorder="1" applyAlignment="1">
      <alignment vertical="top"/>
    </xf>
    <xf numFmtId="0" fontId="7" fillId="14" borderId="80" xfId="0" applyFont="1" applyFill="1" applyBorder="1" applyAlignment="1">
      <alignment vertical="top"/>
    </xf>
    <xf numFmtId="0" fontId="16" fillId="0" borderId="0" xfId="0" applyFont="1" applyAlignment="1">
      <alignment horizontal="right"/>
    </xf>
    <xf numFmtId="3" fontId="15" fillId="0" borderId="64" xfId="0" applyNumberFormat="1" applyFont="1" applyFill="1" applyBorder="1" applyAlignment="1">
      <alignment vertical="top"/>
    </xf>
    <xf numFmtId="165" fontId="15" fillId="0" borderId="65" xfId="0" applyNumberFormat="1" applyFont="1" applyFill="1" applyBorder="1" applyAlignment="1">
      <alignment vertical="top"/>
    </xf>
    <xf numFmtId="3" fontId="15" fillId="0" borderId="65" xfId="0" applyNumberFormat="1" applyFont="1" applyFill="1" applyBorder="1" applyAlignment="1">
      <alignment vertical="top"/>
    </xf>
    <xf numFmtId="0" fontId="25" fillId="0" borderId="76" xfId="2" applyFont="1" applyFill="1" applyBorder="1" applyAlignment="1">
      <alignment vertical="center"/>
    </xf>
    <xf numFmtId="3" fontId="25" fillId="0" borderId="78" xfId="0" applyNumberFormat="1" applyFont="1" applyFill="1" applyBorder="1" applyAlignment="1">
      <alignment vertical="top"/>
    </xf>
    <xf numFmtId="3" fontId="25" fillId="0" borderId="76" xfId="0" applyNumberFormat="1" applyFont="1" applyFill="1" applyBorder="1" applyAlignment="1">
      <alignment horizontal="right" vertical="center"/>
    </xf>
    <xf numFmtId="3" fontId="25" fillId="0" borderId="77" xfId="0" applyNumberFormat="1" applyFont="1" applyFill="1" applyBorder="1" applyAlignment="1">
      <alignment horizontal="right" vertical="center"/>
    </xf>
    <xf numFmtId="3" fontId="25" fillId="0" borderId="70" xfId="0" applyNumberFormat="1" applyFont="1" applyFill="1" applyBorder="1" applyAlignment="1">
      <alignment horizontal="right" vertical="center"/>
    </xf>
    <xf numFmtId="165" fontId="25" fillId="0" borderId="71" xfId="0" applyNumberFormat="1" applyFont="1" applyFill="1" applyBorder="1" applyAlignment="1">
      <alignment horizontal="right" vertical="center"/>
    </xf>
    <xf numFmtId="0" fontId="25" fillId="14" borderId="80" xfId="0" applyFont="1" applyFill="1" applyBorder="1" applyAlignment="1">
      <alignment vertical="top"/>
    </xf>
    <xf numFmtId="3" fontId="25" fillId="0" borderId="72" xfId="0" applyNumberFormat="1" applyFont="1" applyFill="1" applyBorder="1" applyAlignment="1">
      <alignment horizontal="right" vertical="center"/>
    </xf>
    <xf numFmtId="0" fontId="15" fillId="14" borderId="80" xfId="0" applyFont="1" applyFill="1" applyBorder="1" applyAlignment="1">
      <alignment vertical="center" wrapText="1"/>
    </xf>
    <xf numFmtId="0" fontId="20" fillId="14" borderId="81" xfId="0" applyFont="1" applyFill="1" applyBorder="1" applyAlignment="1">
      <alignment horizontal="center" vertical="center" wrapText="1"/>
    </xf>
    <xf numFmtId="0" fontId="7" fillId="14" borderId="81" xfId="0" applyFont="1" applyFill="1" applyBorder="1" applyAlignment="1">
      <alignment vertical="top"/>
    </xf>
    <xf numFmtId="3" fontId="25" fillId="0" borderId="68" xfId="0" applyNumberFormat="1" applyFont="1" applyFill="1" applyBorder="1" applyAlignment="1">
      <alignment horizontal="right" vertical="center"/>
    </xf>
    <xf numFmtId="165" fontId="22" fillId="0" borderId="65" xfId="0" applyNumberFormat="1" applyFont="1" applyFill="1" applyBorder="1" applyAlignment="1">
      <alignment vertical="top"/>
    </xf>
    <xf numFmtId="0" fontId="7" fillId="0" borderId="65" xfId="2" applyFont="1" applyFill="1" applyBorder="1" applyAlignment="1">
      <alignment vertical="center"/>
    </xf>
    <xf numFmtId="165" fontId="25" fillId="0" borderId="65" xfId="0" applyNumberFormat="1" applyFont="1" applyFill="1" applyBorder="1" applyAlignment="1">
      <alignment vertical="top"/>
    </xf>
    <xf numFmtId="3" fontId="15" fillId="0" borderId="69" xfId="0" applyNumberFormat="1" applyFont="1" applyFill="1" applyBorder="1" applyAlignment="1">
      <alignment vertical="top"/>
    </xf>
    <xf numFmtId="3" fontId="22" fillId="0" borderId="69" xfId="0" applyNumberFormat="1" applyFont="1" applyFill="1" applyBorder="1" applyAlignment="1">
      <alignment vertical="top"/>
    </xf>
    <xf numFmtId="3" fontId="25" fillId="0" borderId="67" xfId="0" applyNumberFormat="1" applyFont="1" applyFill="1" applyBorder="1" applyAlignment="1">
      <alignment vertical="top"/>
    </xf>
    <xf numFmtId="3" fontId="22" fillId="0" borderId="67" xfId="0" applyNumberFormat="1" applyFont="1" applyFill="1" applyBorder="1" applyAlignment="1">
      <alignment vertical="top"/>
    </xf>
    <xf numFmtId="3" fontId="25" fillId="0" borderId="73" xfId="0" applyNumberFormat="1" applyFont="1" applyFill="1" applyBorder="1" applyAlignment="1">
      <alignment horizontal="right" vertical="center"/>
    </xf>
    <xf numFmtId="0" fontId="7" fillId="2" borderId="22" xfId="0" applyFont="1" applyFill="1" applyBorder="1" applyAlignment="1">
      <alignment vertical="top"/>
    </xf>
    <xf numFmtId="0" fontId="33" fillId="2" borderId="22" xfId="0" applyFont="1" applyFill="1" applyBorder="1" applyAlignment="1">
      <alignment vertical="top"/>
    </xf>
    <xf numFmtId="3" fontId="7" fillId="2" borderId="22" xfId="0" applyNumberFormat="1" applyFont="1" applyFill="1" applyBorder="1" applyAlignment="1">
      <alignment horizontal="left" vertical="top"/>
    </xf>
    <xf numFmtId="165" fontId="25" fillId="2" borderId="22" xfId="0" applyNumberFormat="1" applyFont="1" applyFill="1" applyBorder="1" applyAlignment="1">
      <alignment vertical="top"/>
    </xf>
    <xf numFmtId="0" fontId="33" fillId="2" borderId="84" xfId="0" applyFont="1" applyFill="1" applyBorder="1" applyAlignment="1">
      <alignment horizontal="center" vertical="top" wrapText="1"/>
    </xf>
    <xf numFmtId="3" fontId="22" fillId="2" borderId="120" xfId="0" quotePrefix="1" applyNumberFormat="1" applyFont="1" applyFill="1" applyBorder="1" applyAlignment="1">
      <alignment vertical="top"/>
    </xf>
    <xf numFmtId="0" fontId="5" fillId="4" borderId="61" xfId="2" applyFont="1" applyFill="1" applyBorder="1" applyAlignment="1">
      <alignment horizontal="left" vertical="center"/>
    </xf>
    <xf numFmtId="0" fontId="34" fillId="4" borderId="62" xfId="2" applyFont="1" applyFill="1" applyBorder="1" applyAlignment="1">
      <alignment horizontal="left" vertical="center"/>
    </xf>
    <xf numFmtId="165" fontId="15" fillId="12" borderId="61" xfId="0" applyNumberFormat="1" applyFont="1" applyFill="1" applyBorder="1" applyAlignment="1">
      <alignment vertical="center"/>
    </xf>
    <xf numFmtId="3" fontId="15" fillId="12" borderId="63" xfId="0" applyNumberFormat="1" applyFont="1" applyFill="1" applyBorder="1" applyAlignment="1">
      <alignment vertical="center"/>
    </xf>
    <xf numFmtId="3" fontId="6" fillId="5" borderId="74" xfId="0" applyNumberFormat="1" applyFont="1" applyFill="1" applyBorder="1" applyAlignment="1">
      <alignment vertical="center"/>
    </xf>
    <xf numFmtId="3" fontId="6" fillId="5" borderId="67" xfId="0" applyNumberFormat="1" applyFont="1" applyFill="1" applyBorder="1" applyAlignment="1">
      <alignment vertical="center"/>
    </xf>
    <xf numFmtId="3" fontId="6" fillId="5" borderId="65" xfId="0" applyNumberFormat="1" applyFont="1" applyFill="1" applyBorder="1" applyAlignment="1">
      <alignment vertical="center"/>
    </xf>
    <xf numFmtId="3" fontId="6" fillId="5" borderId="64" xfId="0" applyNumberFormat="1" applyFont="1" applyFill="1" applyBorder="1" applyAlignment="1">
      <alignment vertical="center"/>
    </xf>
    <xf numFmtId="165" fontId="22" fillId="5" borderId="65" xfId="0" applyNumberFormat="1" applyFont="1" applyFill="1" applyBorder="1" applyAlignment="1">
      <alignment vertical="center"/>
    </xf>
    <xf numFmtId="0" fontId="33" fillId="0" borderId="0" xfId="0" applyFont="1" applyFill="1" applyAlignment="1">
      <alignment vertical="center"/>
    </xf>
    <xf numFmtId="0" fontId="33" fillId="13" borderId="0" xfId="0" applyFont="1" applyFill="1" applyAlignment="1">
      <alignment vertical="center"/>
    </xf>
    <xf numFmtId="3" fontId="7" fillId="11" borderId="74" xfId="0" applyNumberFormat="1" applyFont="1" applyFill="1" applyBorder="1" applyAlignment="1">
      <alignment vertical="center"/>
    </xf>
    <xf numFmtId="3" fontId="7" fillId="11" borderId="73" xfId="0" applyNumberFormat="1" applyFont="1" applyFill="1" applyBorder="1" applyAlignment="1">
      <alignment vertical="center"/>
    </xf>
    <xf numFmtId="3" fontId="7" fillId="11" borderId="67" xfId="0" applyNumberFormat="1" applyFont="1" applyFill="1" applyBorder="1" applyAlignment="1">
      <alignment vertical="center"/>
    </xf>
    <xf numFmtId="3" fontId="7" fillId="11" borderId="71" xfId="0" applyNumberFormat="1" applyFont="1" applyFill="1" applyBorder="1" applyAlignment="1">
      <alignment vertical="center"/>
    </xf>
    <xf numFmtId="165" fontId="25" fillId="11" borderId="65" xfId="0" applyNumberFormat="1" applyFont="1" applyFill="1" applyBorder="1" applyAlignment="1">
      <alignment vertical="center"/>
    </xf>
    <xf numFmtId="3" fontId="7" fillId="11" borderId="65" xfId="0" applyNumberFormat="1" applyFont="1" applyFill="1" applyBorder="1" applyAlignment="1">
      <alignment vertical="center"/>
    </xf>
    <xf numFmtId="0" fontId="15" fillId="14" borderId="61" xfId="0" applyFont="1" applyFill="1" applyBorder="1" applyAlignment="1">
      <alignment vertical="top" wrapText="1"/>
    </xf>
    <xf numFmtId="43" fontId="7" fillId="4" borderId="67" xfId="1" applyFont="1" applyFill="1" applyBorder="1" applyAlignment="1">
      <alignment vertical="top"/>
    </xf>
    <xf numFmtId="43" fontId="6" fillId="0" borderId="67" xfId="1" applyFont="1" applyFill="1" applyBorder="1" applyAlignment="1">
      <alignment vertical="top"/>
    </xf>
    <xf numFmtId="0" fontId="25" fillId="0" borderId="71" xfId="0" applyFont="1" applyFill="1" applyBorder="1" applyAlignment="1">
      <alignment vertical="top"/>
    </xf>
    <xf numFmtId="3" fontId="7" fillId="0" borderId="70" xfId="0" applyNumberFormat="1" applyFont="1" applyFill="1" applyBorder="1" applyAlignment="1">
      <alignment vertical="top"/>
    </xf>
    <xf numFmtId="43" fontId="7" fillId="0" borderId="73" xfId="1" applyFont="1" applyFill="1" applyBorder="1" applyAlignment="1">
      <alignment vertical="top"/>
    </xf>
    <xf numFmtId="3" fontId="7" fillId="0" borderId="64" xfId="0" applyNumberFormat="1" applyFont="1" applyFill="1" applyBorder="1" applyAlignment="1">
      <alignment horizontal="right" vertical="center"/>
    </xf>
    <xf numFmtId="43" fontId="25" fillId="14" borderId="61" xfId="1" applyFont="1" applyFill="1" applyBorder="1" applyAlignment="1">
      <alignment vertical="top"/>
    </xf>
    <xf numFmtId="43" fontId="7" fillId="14" borderId="63" xfId="1" applyFont="1" applyFill="1" applyBorder="1" applyAlignment="1">
      <alignment vertical="top"/>
    </xf>
    <xf numFmtId="43" fontId="5" fillId="4" borderId="67" xfId="1" applyFont="1" applyFill="1" applyBorder="1" applyAlignment="1">
      <alignment vertical="top"/>
    </xf>
    <xf numFmtId="43" fontId="22" fillId="0" borderId="67" xfId="1" applyFont="1" applyFill="1" applyBorder="1" applyAlignment="1">
      <alignment vertical="top"/>
    </xf>
    <xf numFmtId="3" fontId="7" fillId="0" borderId="73" xfId="0" applyNumberFormat="1" applyFont="1" applyFill="1" applyBorder="1" applyAlignment="1">
      <alignment vertical="top"/>
    </xf>
    <xf numFmtId="43" fontId="25" fillId="0" borderId="73" xfId="1" applyFont="1" applyFill="1" applyBorder="1" applyAlignment="1">
      <alignment vertical="top"/>
    </xf>
    <xf numFmtId="43" fontId="25" fillId="14" borderId="63" xfId="1" applyFont="1" applyFill="1" applyBorder="1" applyAlignment="1">
      <alignment vertical="top"/>
    </xf>
    <xf numFmtId="3" fontId="25" fillId="0" borderId="73" xfId="0" applyNumberFormat="1" applyFont="1" applyFill="1" applyBorder="1" applyAlignment="1">
      <alignment vertical="top"/>
    </xf>
    <xf numFmtId="43" fontId="22" fillId="2" borderId="67" xfId="1" applyFont="1" applyFill="1" applyBorder="1" applyAlignment="1">
      <alignment vertical="center"/>
    </xf>
    <xf numFmtId="0" fontId="33" fillId="2" borderId="0" xfId="0" applyFont="1" applyFill="1" applyBorder="1" applyAlignment="1">
      <alignment vertical="center"/>
    </xf>
    <xf numFmtId="0" fontId="25" fillId="2" borderId="71" xfId="0" applyFont="1" applyFill="1" applyBorder="1" applyAlignment="1">
      <alignment vertical="top"/>
    </xf>
    <xf numFmtId="165" fontId="5" fillId="4" borderId="65" xfId="0" applyNumberFormat="1" applyFont="1" applyFill="1" applyBorder="1" applyAlignment="1">
      <alignment vertical="top"/>
    </xf>
    <xf numFmtId="165" fontId="6" fillId="2" borderId="65" xfId="0" applyNumberFormat="1" applyFont="1" applyFill="1" applyBorder="1" applyAlignment="1">
      <alignment vertical="center"/>
    </xf>
    <xf numFmtId="165" fontId="7" fillId="0" borderId="71" xfId="0" applyNumberFormat="1" applyFont="1" applyFill="1" applyBorder="1" applyAlignment="1">
      <alignment vertical="top"/>
    </xf>
    <xf numFmtId="0" fontId="33" fillId="2" borderId="0" xfId="0" applyFont="1" applyFill="1" applyBorder="1" applyAlignment="1">
      <alignment vertical="top"/>
    </xf>
    <xf numFmtId="3" fontId="33" fillId="0" borderId="0" xfId="0" applyNumberFormat="1" applyFont="1" applyFill="1" applyBorder="1" applyAlignment="1"/>
    <xf numFmtId="0" fontId="35" fillId="0" borderId="0" xfId="0" applyFont="1" applyAlignment="1">
      <alignment horizontal="center" vertical="top" wrapText="1"/>
    </xf>
    <xf numFmtId="3" fontId="50" fillId="0" borderId="0" xfId="0" applyNumberFormat="1" applyFont="1" applyFill="1" applyBorder="1" applyAlignment="1">
      <alignment vertical="top"/>
    </xf>
    <xf numFmtId="3" fontId="41" fillId="0" borderId="0" xfId="0" applyNumberFormat="1" applyFont="1" applyFill="1" applyBorder="1" applyAlignment="1">
      <alignment vertical="top"/>
    </xf>
    <xf numFmtId="3" fontId="34" fillId="0" borderId="0" xfId="0" applyNumberFormat="1" applyFont="1" applyFill="1" applyBorder="1" applyAlignment="1">
      <alignment vertical="top"/>
    </xf>
    <xf numFmtId="3" fontId="34" fillId="0" borderId="0" xfId="0" applyNumberFormat="1" applyFont="1" applyFill="1" applyBorder="1" applyAlignment="1">
      <alignment horizontal="right" vertical="top"/>
    </xf>
    <xf numFmtId="0" fontId="35" fillId="0" borderId="0" xfId="0" applyFont="1" applyBorder="1" applyAlignment="1">
      <alignment horizontal="center" vertical="top" wrapText="1"/>
    </xf>
    <xf numFmtId="0" fontId="35" fillId="0" borderId="1" xfId="0" applyFont="1" applyBorder="1" applyAlignment="1">
      <alignment horizontal="center" vertical="top" wrapText="1"/>
    </xf>
    <xf numFmtId="0" fontId="35" fillId="0" borderId="4" xfId="0" applyFont="1" applyBorder="1" applyAlignment="1">
      <alignment horizontal="center" vertical="top" wrapText="1"/>
    </xf>
    <xf numFmtId="0" fontId="35" fillId="0" borderId="14" xfId="0" applyFont="1" applyBorder="1" applyAlignment="1">
      <alignment horizontal="center" vertical="top" wrapText="1"/>
    </xf>
    <xf numFmtId="3" fontId="34" fillId="0" borderId="0" xfId="0" applyNumberFormat="1" applyFont="1" applyFill="1" applyBorder="1" applyAlignment="1"/>
    <xf numFmtId="3" fontId="21" fillId="0" borderId="0" xfId="0" applyNumberFormat="1" applyFont="1" applyFill="1" applyBorder="1" applyAlignment="1">
      <alignment vertical="top"/>
    </xf>
    <xf numFmtId="0" fontId="16" fillId="0" borderId="21" xfId="0" applyFont="1" applyFill="1" applyBorder="1" applyAlignment="1">
      <alignment vertical="top"/>
    </xf>
    <xf numFmtId="0" fontId="35" fillId="0" borderId="95" xfId="0" applyFont="1" applyBorder="1" applyAlignment="1">
      <alignment horizontal="center" vertical="top" wrapText="1"/>
    </xf>
    <xf numFmtId="0" fontId="35" fillId="0" borderId="96" xfId="0" applyFont="1" applyBorder="1" applyAlignment="1">
      <alignment horizontal="center" vertical="top" wrapText="1"/>
    </xf>
    <xf numFmtId="0" fontId="16" fillId="0" borderId="14" xfId="0" applyFont="1" applyFill="1" applyBorder="1" applyAlignment="1">
      <alignment vertical="top"/>
    </xf>
    <xf numFmtId="0" fontId="35" fillId="0" borderId="100" xfId="0" applyFont="1" applyBorder="1" applyAlignment="1">
      <alignment horizontal="center" vertical="top" wrapText="1"/>
    </xf>
    <xf numFmtId="0" fontId="32" fillId="2" borderId="19" xfId="0" applyFont="1" applyFill="1" applyBorder="1" applyAlignment="1">
      <alignment vertical="center"/>
    </xf>
    <xf numFmtId="0" fontId="20" fillId="0" borderId="0" xfId="0" applyFont="1" applyBorder="1" applyAlignment="1">
      <alignment vertical="top"/>
    </xf>
    <xf numFmtId="3" fontId="29" fillId="0" borderId="0" xfId="0" applyNumberFormat="1" applyFont="1" applyAlignment="1">
      <alignment vertical="top"/>
    </xf>
    <xf numFmtId="0" fontId="29" fillId="0" borderId="51" xfId="0" applyFont="1" applyBorder="1" applyAlignment="1">
      <alignment horizontal="center" vertical="top"/>
    </xf>
    <xf numFmtId="0" fontId="29" fillId="0" borderId="40" xfId="0" applyFont="1" applyBorder="1" applyAlignment="1">
      <alignment horizontal="center" vertical="top"/>
    </xf>
    <xf numFmtId="0" fontId="29" fillId="0" borderId="52" xfId="0" applyFont="1" applyBorder="1" applyAlignment="1">
      <alignment horizontal="center" vertical="top"/>
    </xf>
    <xf numFmtId="0" fontId="29" fillId="2" borderId="40" xfId="0" quotePrefix="1" applyFont="1" applyFill="1" applyBorder="1" applyAlignment="1">
      <alignment horizontal="center" vertical="top"/>
    </xf>
    <xf numFmtId="0" fontId="29" fillId="2" borderId="38" xfId="0" quotePrefix="1" applyFont="1" applyFill="1" applyBorder="1" applyAlignment="1">
      <alignment horizontal="center" vertical="top"/>
    </xf>
    <xf numFmtId="0" fontId="29" fillId="2" borderId="51" xfId="0" quotePrefix="1" applyFont="1" applyFill="1" applyBorder="1" applyAlignment="1">
      <alignment horizontal="center" vertical="top"/>
    </xf>
    <xf numFmtId="0" fontId="29" fillId="0" borderId="9" xfId="0" applyFont="1" applyBorder="1" applyAlignment="1">
      <alignment vertical="center"/>
    </xf>
    <xf numFmtId="3" fontId="22" fillId="2" borderId="133" xfId="0" quotePrefix="1" applyNumberFormat="1" applyFont="1" applyFill="1" applyBorder="1" applyAlignment="1">
      <alignment vertical="center"/>
    </xf>
    <xf numFmtId="3" fontId="22" fillId="2" borderId="134" xfId="0" quotePrefix="1" applyNumberFormat="1" applyFont="1" applyFill="1" applyBorder="1" applyAlignment="1">
      <alignment vertical="center"/>
    </xf>
    <xf numFmtId="165" fontId="6" fillId="0" borderId="119" xfId="2" applyNumberFormat="1" applyFont="1" applyFill="1" applyBorder="1" applyAlignment="1">
      <alignment horizontal="right" vertical="center"/>
    </xf>
    <xf numFmtId="3" fontId="6" fillId="2" borderId="131" xfId="0" quotePrefix="1" applyNumberFormat="1" applyFont="1" applyFill="1" applyBorder="1" applyAlignment="1">
      <alignment vertical="center"/>
    </xf>
    <xf numFmtId="0" fontId="22" fillId="0" borderId="30" xfId="0" applyFont="1" applyBorder="1" applyAlignment="1">
      <alignment horizontal="left" vertical="center"/>
    </xf>
    <xf numFmtId="0" fontId="30" fillId="0" borderId="59" xfId="0" quotePrefix="1" applyFont="1" applyBorder="1" applyAlignment="1">
      <alignment horizontal="center" vertical="center"/>
    </xf>
    <xf numFmtId="3" fontId="22" fillId="2" borderId="16" xfId="0" quotePrefix="1" applyNumberFormat="1" applyFont="1" applyFill="1" applyBorder="1" applyAlignment="1">
      <alignment vertical="center"/>
    </xf>
    <xf numFmtId="3" fontId="22" fillId="2" borderId="97" xfId="0" quotePrefix="1" applyNumberFormat="1" applyFont="1" applyFill="1" applyBorder="1" applyAlignment="1">
      <alignment vertical="center"/>
    </xf>
    <xf numFmtId="3" fontId="22" fillId="2" borderId="1" xfId="0" quotePrefix="1" applyNumberFormat="1" applyFont="1" applyFill="1" applyBorder="1" applyAlignment="1">
      <alignment vertical="center"/>
    </xf>
    <xf numFmtId="3" fontId="6" fillId="2" borderId="1" xfId="0" quotePrefix="1" applyNumberFormat="1" applyFont="1" applyFill="1" applyBorder="1" applyAlignment="1">
      <alignment vertical="center"/>
    </xf>
    <xf numFmtId="3" fontId="23" fillId="2" borderId="15" xfId="0" quotePrefix="1" applyNumberFormat="1" applyFont="1" applyFill="1" applyBorder="1" applyAlignment="1">
      <alignment vertical="center"/>
    </xf>
    <xf numFmtId="0" fontId="15" fillId="4" borderId="54" xfId="2" applyFont="1" applyFill="1" applyBorder="1" applyAlignment="1">
      <alignment horizontal="left" vertical="center"/>
    </xf>
    <xf numFmtId="0" fontId="20" fillId="4" borderId="18" xfId="0" applyFont="1" applyFill="1" applyBorder="1" applyAlignment="1">
      <alignment vertical="center"/>
    </xf>
    <xf numFmtId="3" fontId="15" fillId="4" borderId="53" xfId="0" applyNumberFormat="1" applyFont="1" applyFill="1" applyBorder="1" applyAlignment="1">
      <alignment vertical="center"/>
    </xf>
    <xf numFmtId="3" fontId="15" fillId="4" borderId="54" xfId="0" applyNumberFormat="1" applyFont="1" applyFill="1" applyBorder="1" applyAlignment="1">
      <alignment vertical="center"/>
    </xf>
    <xf numFmtId="3" fontId="15" fillId="4" borderId="18" xfId="0" applyNumberFormat="1" applyFont="1" applyFill="1" applyBorder="1" applyAlignment="1">
      <alignment vertical="center"/>
    </xf>
    <xf numFmtId="3" fontId="15" fillId="4" borderId="115" xfId="0" applyNumberFormat="1" applyFont="1" applyFill="1" applyBorder="1" applyAlignment="1">
      <alignment vertical="center"/>
    </xf>
    <xf numFmtId="165" fontId="5" fillId="4" borderId="30" xfId="0" applyNumberFormat="1" applyFont="1" applyFill="1" applyBorder="1" applyAlignment="1">
      <alignment vertical="center"/>
    </xf>
    <xf numFmtId="3" fontId="5" fillId="4" borderId="54" xfId="0" applyNumberFormat="1" applyFont="1" applyFill="1" applyBorder="1" applyAlignment="1">
      <alignment vertical="center"/>
    </xf>
    <xf numFmtId="3" fontId="20" fillId="4" borderId="54" xfId="0" applyNumberFormat="1" applyFont="1" applyFill="1" applyBorder="1" applyAlignment="1">
      <alignment vertical="center"/>
    </xf>
    <xf numFmtId="3" fontId="33" fillId="0" borderId="0" xfId="2" applyNumberFormat="1" applyFont="1" applyFill="1" applyBorder="1" applyAlignment="1">
      <alignment horizontal="center" vertical="center" wrapText="1"/>
    </xf>
    <xf numFmtId="3" fontId="25" fillId="0" borderId="0" xfId="0" applyNumberFormat="1" applyFont="1" applyFill="1" applyAlignment="1">
      <alignment vertical="center"/>
    </xf>
    <xf numFmtId="0" fontId="25" fillId="0" borderId="0" xfId="0" applyFont="1" applyFill="1" applyAlignment="1">
      <alignment vertical="center"/>
    </xf>
    <xf numFmtId="0" fontId="25" fillId="10" borderId="0" xfId="0" applyFont="1" applyFill="1" applyAlignment="1">
      <alignment vertical="center"/>
    </xf>
    <xf numFmtId="0" fontId="6" fillId="5" borderId="80" xfId="2" applyFont="1" applyFill="1" applyBorder="1" applyAlignment="1">
      <alignment vertical="center"/>
    </xf>
    <xf numFmtId="3" fontId="22" fillId="5" borderId="82" xfId="2" applyNumberFormat="1" applyFont="1" applyFill="1" applyBorder="1" applyAlignment="1">
      <alignment vertical="center"/>
    </xf>
    <xf numFmtId="3" fontId="22" fillId="5" borderId="80" xfId="2" applyNumberFormat="1" applyFont="1" applyFill="1" applyBorder="1" applyAlignment="1">
      <alignment vertical="center"/>
    </xf>
    <xf numFmtId="3" fontId="22" fillId="5" borderId="81" xfId="2" applyNumberFormat="1" applyFont="1" applyFill="1" applyBorder="1" applyAlignment="1">
      <alignment vertical="center"/>
    </xf>
    <xf numFmtId="3" fontId="22" fillId="5" borderId="107" xfId="2" applyNumberFormat="1" applyFont="1" applyFill="1" applyBorder="1" applyAlignment="1">
      <alignment vertical="center"/>
    </xf>
    <xf numFmtId="165" fontId="6" fillId="5" borderId="10" xfId="2" applyNumberFormat="1" applyFont="1" applyFill="1" applyBorder="1" applyAlignment="1">
      <alignment vertical="center"/>
    </xf>
    <xf numFmtId="3" fontId="6" fillId="5" borderId="80" xfId="2" applyNumberFormat="1" applyFont="1" applyFill="1" applyBorder="1" applyAlignment="1">
      <alignment vertical="center"/>
    </xf>
    <xf numFmtId="3" fontId="30" fillId="5" borderId="80" xfId="2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16" fillId="0" borderId="0" xfId="0" applyFont="1" applyBorder="1" applyAlignment="1">
      <alignment vertical="center"/>
    </xf>
    <xf numFmtId="3" fontId="7" fillId="5" borderId="69" xfId="2" applyNumberFormat="1" applyFont="1" applyFill="1" applyBorder="1" applyAlignment="1">
      <alignment horizontal="right" vertical="center"/>
    </xf>
    <xf numFmtId="165" fontId="7" fillId="5" borderId="65" xfId="2" applyNumberFormat="1" applyFont="1" applyFill="1" applyBorder="1" applyAlignment="1">
      <alignment horizontal="right" vertical="center"/>
    </xf>
    <xf numFmtId="3" fontId="33" fillId="5" borderId="65" xfId="2" applyNumberFormat="1" applyFont="1" applyFill="1" applyBorder="1" applyAlignment="1">
      <alignment horizontal="right" vertical="center"/>
    </xf>
    <xf numFmtId="0" fontId="22" fillId="5" borderId="65" xfId="2" applyFont="1" applyFill="1" applyBorder="1" applyAlignment="1">
      <alignment horizontal="left" vertical="center"/>
    </xf>
    <xf numFmtId="3" fontId="22" fillId="5" borderId="9" xfId="2" applyNumberFormat="1" applyFont="1" applyFill="1" applyBorder="1" applyAlignment="1">
      <alignment vertical="top"/>
    </xf>
    <xf numFmtId="3" fontId="22" fillId="5" borderId="10" xfId="2" applyNumberFormat="1" applyFont="1" applyFill="1" applyBorder="1" applyAlignment="1">
      <alignment vertical="top"/>
    </xf>
    <xf numFmtId="3" fontId="22" fillId="5" borderId="96" xfId="2" applyNumberFormat="1" applyFont="1" applyFill="1" applyBorder="1" applyAlignment="1">
      <alignment vertical="top"/>
    </xf>
    <xf numFmtId="3" fontId="22" fillId="5" borderId="11" xfId="2" applyNumberFormat="1" applyFont="1" applyFill="1" applyBorder="1" applyAlignment="1">
      <alignment vertical="top"/>
    </xf>
    <xf numFmtId="3" fontId="6" fillId="5" borderId="11" xfId="2" applyNumberFormat="1" applyFont="1" applyFill="1" applyBorder="1" applyAlignment="1">
      <alignment vertical="top"/>
    </xf>
    <xf numFmtId="3" fontId="30" fillId="5" borderId="65" xfId="2" applyNumberFormat="1" applyFont="1" applyFill="1" applyBorder="1" applyAlignment="1">
      <alignment vertical="top"/>
    </xf>
    <xf numFmtId="43" fontId="7" fillId="5" borderId="65" xfId="1" applyFont="1" applyFill="1" applyBorder="1" applyAlignment="1">
      <alignment horizontal="right" vertical="center"/>
    </xf>
    <xf numFmtId="43" fontId="7" fillId="5" borderId="66" xfId="1" applyFont="1" applyFill="1" applyBorder="1" applyAlignment="1">
      <alignment horizontal="right" vertical="center"/>
    </xf>
    <xf numFmtId="0" fontId="20" fillId="4" borderId="59" xfId="2" applyFont="1" applyFill="1" applyBorder="1" applyAlignment="1">
      <alignment horizontal="left" vertical="center"/>
    </xf>
    <xf numFmtId="3" fontId="15" fillId="4" borderId="78" xfId="2" applyNumberFormat="1" applyFont="1" applyFill="1" applyBorder="1" applyAlignment="1">
      <alignment vertical="center"/>
    </xf>
    <xf numFmtId="3" fontId="15" fillId="4" borderId="76" xfId="2" applyNumberFormat="1" applyFont="1" applyFill="1" applyBorder="1" applyAlignment="1">
      <alignment vertical="center"/>
    </xf>
    <xf numFmtId="3" fontId="15" fillId="4" borderId="77" xfId="2" applyNumberFormat="1" applyFont="1" applyFill="1" applyBorder="1" applyAlignment="1">
      <alignment vertical="center"/>
    </xf>
    <xf numFmtId="3" fontId="15" fillId="4" borderId="126" xfId="2" applyNumberFormat="1" applyFont="1" applyFill="1" applyBorder="1" applyAlignment="1">
      <alignment vertical="center"/>
    </xf>
    <xf numFmtId="165" fontId="5" fillId="4" borderId="76" xfId="2" applyNumberFormat="1" applyFont="1" applyFill="1" applyBorder="1" applyAlignment="1">
      <alignment vertical="center"/>
    </xf>
    <xf numFmtId="3" fontId="5" fillId="4" borderId="76" xfId="2" applyNumberFormat="1" applyFont="1" applyFill="1" applyBorder="1" applyAlignment="1">
      <alignment vertical="center"/>
    </xf>
    <xf numFmtId="3" fontId="20" fillId="4" borderId="76" xfId="2" applyNumberFormat="1" applyFont="1" applyFill="1" applyBorder="1" applyAlignment="1">
      <alignment vertical="center"/>
    </xf>
    <xf numFmtId="3" fontId="16" fillId="0" borderId="0" xfId="0" applyNumberFormat="1" applyFont="1" applyFill="1"/>
    <xf numFmtId="0" fontId="6" fillId="5" borderId="80" xfId="2" applyFont="1" applyFill="1" applyBorder="1" applyAlignment="1">
      <alignment vertical="top"/>
    </xf>
    <xf numFmtId="3" fontId="22" fillId="5" borderId="80" xfId="2" applyNumberFormat="1" applyFont="1" applyFill="1" applyBorder="1" applyAlignment="1">
      <alignment vertical="top"/>
    </xf>
    <xf numFmtId="3" fontId="22" fillId="5" borderId="81" xfId="2" applyNumberFormat="1" applyFont="1" applyFill="1" applyBorder="1" applyAlignment="1">
      <alignment vertical="top"/>
    </xf>
    <xf numFmtId="165" fontId="6" fillId="5" borderId="80" xfId="2" applyNumberFormat="1" applyFont="1" applyFill="1" applyBorder="1" applyAlignment="1">
      <alignment vertical="top"/>
    </xf>
    <xf numFmtId="3" fontId="6" fillId="5" borderId="80" xfId="2" applyNumberFormat="1" applyFont="1" applyFill="1" applyBorder="1" applyAlignment="1">
      <alignment vertical="top"/>
    </xf>
    <xf numFmtId="3" fontId="30" fillId="5" borderId="80" xfId="2" applyNumberFormat="1" applyFont="1" applyFill="1" applyBorder="1" applyAlignment="1">
      <alignment vertical="top"/>
    </xf>
    <xf numFmtId="3" fontId="33" fillId="5" borderId="66" xfId="2" applyNumberFormat="1" applyFont="1" applyFill="1" applyBorder="1" applyAlignment="1">
      <alignment horizontal="right" vertical="center"/>
    </xf>
    <xf numFmtId="3" fontId="22" fillId="5" borderId="69" xfId="2" applyNumberFormat="1" applyFont="1" applyFill="1" applyBorder="1" applyAlignment="1">
      <alignment vertical="top"/>
    </xf>
    <xf numFmtId="165" fontId="6" fillId="5" borderId="67" xfId="2" applyNumberFormat="1" applyFont="1" applyFill="1" applyBorder="1" applyAlignment="1">
      <alignment vertical="top"/>
    </xf>
    <xf numFmtId="3" fontId="30" fillId="5" borderId="67" xfId="2" applyNumberFormat="1" applyFont="1" applyFill="1" applyBorder="1" applyAlignment="1">
      <alignment vertical="top"/>
    </xf>
    <xf numFmtId="3" fontId="7" fillId="5" borderId="70" xfId="2" applyNumberFormat="1" applyFont="1" applyFill="1" applyBorder="1" applyAlignment="1">
      <alignment horizontal="right" vertical="center"/>
    </xf>
    <xf numFmtId="3" fontId="7" fillId="5" borderId="71" xfId="2" applyNumberFormat="1" applyFont="1" applyFill="1" applyBorder="1" applyAlignment="1">
      <alignment horizontal="right" vertical="center"/>
    </xf>
    <xf numFmtId="43" fontId="7" fillId="5" borderId="71" xfId="1" applyFont="1" applyFill="1" applyBorder="1" applyAlignment="1">
      <alignment horizontal="right" vertical="center"/>
    </xf>
    <xf numFmtId="3" fontId="7" fillId="5" borderId="72" xfId="2" applyNumberFormat="1" applyFont="1" applyFill="1" applyBorder="1" applyAlignment="1">
      <alignment horizontal="right" vertical="center"/>
    </xf>
    <xf numFmtId="0" fontId="5" fillId="7" borderId="61" xfId="2" applyFont="1" applyFill="1" applyBorder="1" applyAlignment="1">
      <alignment horizontal="left" vertical="center" wrapText="1"/>
    </xf>
    <xf numFmtId="0" fontId="34" fillId="7" borderId="63" xfId="2" applyFont="1" applyFill="1" applyBorder="1" applyAlignment="1">
      <alignment horizontal="center" vertical="center" wrapText="1"/>
    </xf>
    <xf numFmtId="3" fontId="25" fillId="7" borderId="60" xfId="2" applyNumberFormat="1" applyFont="1" applyFill="1" applyBorder="1" applyAlignment="1">
      <alignment horizontal="right" vertical="center"/>
    </xf>
    <xf numFmtId="3" fontId="25" fillId="7" borderId="61" xfId="2" applyNumberFormat="1" applyFont="1" applyFill="1" applyBorder="1" applyAlignment="1">
      <alignment horizontal="right" vertical="center"/>
    </xf>
    <xf numFmtId="3" fontId="25" fillId="7" borderId="62" xfId="2" applyNumberFormat="1" applyFont="1" applyFill="1" applyBorder="1" applyAlignment="1">
      <alignment horizontal="right" vertical="center"/>
    </xf>
    <xf numFmtId="3" fontId="7" fillId="7" borderId="106" xfId="2" applyNumberFormat="1" applyFont="1" applyFill="1" applyBorder="1" applyAlignment="1">
      <alignment horizontal="right" vertical="center"/>
    </xf>
    <xf numFmtId="165" fontId="7" fillId="7" borderId="61" xfId="2" applyNumberFormat="1" applyFont="1" applyFill="1" applyBorder="1" applyAlignment="1">
      <alignment horizontal="right" vertical="center"/>
    </xf>
    <xf numFmtId="3" fontId="7" fillId="7" borderId="61" xfId="2" applyNumberFormat="1" applyFont="1" applyFill="1" applyBorder="1" applyAlignment="1">
      <alignment horizontal="right" vertical="center"/>
    </xf>
    <xf numFmtId="3" fontId="29" fillId="7" borderId="61" xfId="2" applyNumberFormat="1" applyFont="1" applyFill="1" applyBorder="1" applyAlignment="1">
      <alignment horizontal="right" vertical="center"/>
    </xf>
    <xf numFmtId="0" fontId="40" fillId="0" borderId="0" xfId="0" applyFont="1" applyFill="1"/>
    <xf numFmtId="0" fontId="5" fillId="4" borderId="30" xfId="2" applyFont="1" applyFill="1" applyBorder="1" applyAlignment="1">
      <alignment horizontal="left" vertical="center"/>
    </xf>
    <xf numFmtId="3" fontId="20" fillId="4" borderId="29" xfId="2" applyNumberFormat="1" applyFont="1" applyFill="1" applyBorder="1" applyAlignment="1">
      <alignment vertical="center"/>
    </xf>
    <xf numFmtId="3" fontId="5" fillId="4" borderId="77" xfId="2" applyNumberFormat="1" applyFont="1" applyFill="1" applyBorder="1" applyAlignment="1"/>
    <xf numFmtId="3" fontId="5" fillId="4" borderId="126" xfId="2" applyNumberFormat="1" applyFont="1" applyFill="1" applyBorder="1" applyAlignment="1"/>
    <xf numFmtId="3" fontId="34" fillId="4" borderId="76" xfId="2" applyNumberFormat="1" applyFont="1" applyFill="1" applyBorder="1" applyAlignment="1"/>
    <xf numFmtId="0" fontId="40" fillId="0" borderId="0" xfId="0" applyFont="1" applyBorder="1"/>
    <xf numFmtId="0" fontId="6" fillId="0" borderId="80" xfId="2" applyFont="1" applyFill="1" applyBorder="1" applyAlignment="1">
      <alignment vertical="top"/>
    </xf>
    <xf numFmtId="43" fontId="22" fillId="2" borderId="81" xfId="1" applyFont="1" applyFill="1" applyBorder="1" applyAlignment="1"/>
    <xf numFmtId="3" fontId="22" fillId="2" borderId="81" xfId="2" applyNumberFormat="1" applyFont="1" applyFill="1" applyBorder="1" applyAlignment="1"/>
    <xf numFmtId="3" fontId="22" fillId="2" borderId="107" xfId="2" applyNumberFormat="1" applyFont="1" applyFill="1" applyBorder="1" applyAlignment="1"/>
    <xf numFmtId="165" fontId="22" fillId="0" borderId="10" xfId="2" applyNumberFormat="1" applyFont="1" applyFill="1" applyBorder="1" applyAlignment="1">
      <alignment horizontal="right" vertical="center"/>
    </xf>
    <xf numFmtId="3" fontId="30" fillId="2" borderId="80" xfId="2" applyNumberFormat="1" applyFont="1" applyFill="1" applyBorder="1" applyAlignment="1"/>
    <xf numFmtId="0" fontId="7" fillId="0" borderId="10" xfId="2" applyFont="1" applyFill="1" applyBorder="1" applyAlignment="1">
      <alignment vertical="top"/>
    </xf>
    <xf numFmtId="0" fontId="16" fillId="0" borderId="50" xfId="0" applyFont="1" applyBorder="1"/>
    <xf numFmtId="3" fontId="25" fillId="0" borderId="10" xfId="2" applyNumberFormat="1" applyFont="1" applyFill="1" applyBorder="1" applyAlignment="1">
      <alignment vertical="top"/>
    </xf>
    <xf numFmtId="0" fontId="7" fillId="0" borderId="65" xfId="2" applyFont="1" applyFill="1" applyBorder="1" applyAlignment="1">
      <alignment vertical="top" wrapText="1"/>
    </xf>
    <xf numFmtId="3" fontId="25" fillId="0" borderId="65" xfId="2" applyNumberFormat="1" applyFont="1" applyFill="1" applyBorder="1" applyAlignment="1">
      <alignment vertical="top"/>
    </xf>
    <xf numFmtId="165" fontId="7" fillId="0" borderId="102" xfId="2" applyNumberFormat="1" applyFont="1" applyFill="1" applyBorder="1" applyAlignment="1">
      <alignment horizontal="right" vertical="center"/>
    </xf>
    <xf numFmtId="3" fontId="33" fillId="0" borderId="65" xfId="2" applyNumberFormat="1" applyFont="1" applyFill="1" applyBorder="1" applyAlignment="1">
      <alignment horizontal="right" vertical="center"/>
    </xf>
    <xf numFmtId="0" fontId="22" fillId="0" borderId="65" xfId="2" applyFont="1" applyFill="1" applyBorder="1" applyAlignment="1">
      <alignment vertical="top" wrapText="1"/>
    </xf>
    <xf numFmtId="165" fontId="22" fillId="0" borderId="102" xfId="2" applyNumberFormat="1" applyFont="1" applyFill="1" applyBorder="1" applyAlignment="1">
      <alignment horizontal="right" vertical="center"/>
    </xf>
    <xf numFmtId="3" fontId="30" fillId="0" borderId="65" xfId="2" applyNumberFormat="1" applyFont="1" applyFill="1" applyBorder="1" applyAlignment="1">
      <alignment horizontal="right" vertical="center"/>
    </xf>
    <xf numFmtId="3" fontId="25" fillId="0" borderId="102" xfId="2" applyNumberFormat="1" applyFont="1" applyFill="1" applyBorder="1" applyAlignment="1">
      <alignment vertical="top"/>
    </xf>
    <xf numFmtId="3" fontId="20" fillId="4" borderId="79" xfId="2" applyNumberFormat="1" applyFont="1" applyFill="1" applyBorder="1" applyAlignment="1">
      <alignment vertical="center"/>
    </xf>
    <xf numFmtId="0" fontId="21" fillId="0" borderId="0" xfId="2" applyFont="1" applyFill="1" applyBorder="1" applyAlignment="1">
      <alignment horizontal="center" vertical="center" wrapText="1"/>
    </xf>
    <xf numFmtId="3" fontId="22" fillId="0" borderId="10" xfId="2" applyNumberFormat="1" applyFont="1" applyFill="1" applyBorder="1" applyAlignment="1">
      <alignment horizontal="right" vertical="center"/>
    </xf>
    <xf numFmtId="3" fontId="21" fillId="0" borderId="0" xfId="2" applyNumberFormat="1" applyFont="1" applyFill="1" applyBorder="1" applyAlignment="1">
      <alignment horizontal="center" vertical="center" wrapText="1"/>
    </xf>
    <xf numFmtId="0" fontId="7" fillId="0" borderId="71" xfId="2" applyFont="1" applyFill="1" applyBorder="1" applyAlignment="1">
      <alignment vertical="top" wrapText="1"/>
    </xf>
    <xf numFmtId="3" fontId="25" fillId="0" borderId="71" xfId="2" applyNumberFormat="1" applyFont="1" applyFill="1" applyBorder="1" applyAlignment="1">
      <alignment vertical="top"/>
    </xf>
    <xf numFmtId="0" fontId="34" fillId="0" borderId="9" xfId="2" applyFont="1" applyFill="1" applyBorder="1" applyAlignment="1">
      <alignment vertical="center"/>
    </xf>
    <xf numFmtId="0" fontId="7" fillId="0" borderId="10" xfId="2" applyFont="1" applyFill="1" applyBorder="1" applyAlignment="1">
      <alignment vertical="top" wrapText="1"/>
    </xf>
    <xf numFmtId="0" fontId="35" fillId="0" borderId="8" xfId="0" applyFont="1" applyBorder="1" applyAlignment="1">
      <alignment wrapText="1" shrinkToFit="1"/>
    </xf>
    <xf numFmtId="43" fontId="25" fillId="0" borderId="9" xfId="1" applyFont="1" applyFill="1" applyBorder="1" applyAlignment="1">
      <alignment vertical="top"/>
    </xf>
    <xf numFmtId="43" fontId="25" fillId="0" borderId="10" xfId="1" applyFont="1" applyFill="1" applyBorder="1" applyAlignment="1">
      <alignment vertical="top" wrapText="1"/>
    </xf>
    <xf numFmtId="3" fontId="25" fillId="0" borderId="10" xfId="2" applyNumberFormat="1" applyFont="1" applyFill="1" applyBorder="1" applyAlignment="1">
      <alignment horizontal="right" vertical="center"/>
    </xf>
    <xf numFmtId="3" fontId="25" fillId="2" borderId="10" xfId="2" applyNumberFormat="1" applyFont="1" applyFill="1" applyBorder="1" applyAlignment="1">
      <alignment horizontal="right" vertical="center"/>
    </xf>
    <xf numFmtId="3" fontId="25" fillId="2" borderId="8" xfId="2" applyNumberFormat="1" applyFont="1" applyFill="1" applyBorder="1" applyAlignment="1">
      <alignment horizontal="right" vertical="center"/>
    </xf>
    <xf numFmtId="3" fontId="7" fillId="0" borderId="9" xfId="2" applyNumberFormat="1" applyFont="1" applyFill="1" applyBorder="1" applyAlignment="1">
      <alignment horizontal="right" vertical="center"/>
    </xf>
    <xf numFmtId="3" fontId="29" fillId="2" borderId="10" xfId="2" applyNumberFormat="1" applyFont="1" applyFill="1" applyBorder="1" applyAlignment="1">
      <alignment horizontal="right" vertical="center"/>
    </xf>
    <xf numFmtId="0" fontId="33" fillId="0" borderId="8" xfId="2" applyFont="1" applyFill="1" applyBorder="1" applyAlignment="1">
      <alignment vertical="center" wrapText="1"/>
    </xf>
    <xf numFmtId="0" fontId="34" fillId="7" borderId="62" xfId="2" applyFont="1" applyFill="1" applyBorder="1" applyAlignment="1">
      <alignment horizontal="center" vertical="center" wrapText="1"/>
    </xf>
    <xf numFmtId="3" fontId="25" fillId="7" borderId="106" xfId="2" applyNumberFormat="1" applyFont="1" applyFill="1" applyBorder="1" applyAlignment="1">
      <alignment horizontal="right" vertical="center"/>
    </xf>
    <xf numFmtId="3" fontId="20" fillId="4" borderId="59" xfId="2" applyNumberFormat="1" applyFont="1" applyFill="1" applyBorder="1" applyAlignment="1">
      <alignment vertical="center"/>
    </xf>
    <xf numFmtId="3" fontId="15" fillId="4" borderId="65" xfId="2" applyNumberFormat="1" applyFont="1" applyFill="1" applyBorder="1" applyAlignment="1">
      <alignment vertical="center"/>
    </xf>
    <xf numFmtId="3" fontId="25" fillId="0" borderId="11" xfId="2" applyNumberFormat="1" applyFont="1" applyFill="1" applyBorder="1" applyAlignment="1">
      <alignment vertical="top"/>
    </xf>
    <xf numFmtId="165" fontId="25" fillId="0" borderId="10" xfId="2" applyNumberFormat="1" applyFont="1" applyFill="1" applyBorder="1" applyAlignment="1">
      <alignment vertical="top"/>
    </xf>
    <xf numFmtId="3" fontId="22" fillId="0" borderId="102" xfId="2" applyNumberFormat="1" applyFont="1" applyFill="1" applyBorder="1" applyAlignment="1">
      <alignment horizontal="right" vertical="center"/>
    </xf>
    <xf numFmtId="3" fontId="33" fillId="0" borderId="71" xfId="2" applyNumberFormat="1" applyFont="1" applyFill="1" applyBorder="1" applyAlignment="1">
      <alignment horizontal="right" vertical="center"/>
    </xf>
    <xf numFmtId="43" fontId="34" fillId="4" borderId="76" xfId="1" applyFont="1" applyFill="1" applyBorder="1" applyAlignment="1"/>
    <xf numFmtId="43" fontId="22" fillId="2" borderId="80" xfId="1" applyFont="1" applyFill="1" applyBorder="1" applyAlignment="1"/>
    <xf numFmtId="43" fontId="22" fillId="0" borderId="10" xfId="1" applyFont="1" applyFill="1" applyBorder="1" applyAlignment="1">
      <alignment horizontal="right" vertical="center"/>
    </xf>
    <xf numFmtId="43" fontId="30" fillId="2" borderId="80" xfId="1" applyFont="1" applyFill="1" applyBorder="1" applyAlignment="1"/>
    <xf numFmtId="3" fontId="25" fillId="0" borderId="69" xfId="2" applyNumberFormat="1" applyFont="1" applyFill="1" applyBorder="1" applyAlignment="1">
      <alignment vertical="top"/>
    </xf>
    <xf numFmtId="165" fontId="25" fillId="0" borderId="65" xfId="2" applyNumberFormat="1" applyFont="1" applyFill="1" applyBorder="1" applyAlignment="1">
      <alignment vertical="top"/>
    </xf>
    <xf numFmtId="43" fontId="33" fillId="0" borderId="65" xfId="1" applyFont="1" applyFill="1" applyBorder="1" applyAlignment="1">
      <alignment horizontal="right" vertical="center"/>
    </xf>
    <xf numFmtId="0" fontId="22" fillId="0" borderId="65" xfId="2" applyFont="1" applyFill="1" applyBorder="1" applyAlignment="1">
      <alignment horizontal="left" vertical="center"/>
    </xf>
    <xf numFmtId="0" fontId="35" fillId="0" borderId="14" xfId="0" applyFont="1" applyBorder="1"/>
    <xf numFmtId="43" fontId="33" fillId="0" borderId="71" xfId="1" applyFont="1" applyFill="1" applyBorder="1" applyAlignment="1">
      <alignment horizontal="right" vertical="center"/>
    </xf>
    <xf numFmtId="0" fontId="5" fillId="7" borderId="10" xfId="2" applyFont="1" applyFill="1" applyBorder="1" applyAlignment="1">
      <alignment horizontal="left" vertical="center" wrapText="1"/>
    </xf>
    <xf numFmtId="0" fontId="34" fillId="7" borderId="8" xfId="2" applyFont="1" applyFill="1" applyBorder="1" applyAlignment="1">
      <alignment horizontal="center" vertical="center" wrapText="1"/>
    </xf>
    <xf numFmtId="3" fontId="25" fillId="7" borderId="82" xfId="2" applyNumberFormat="1" applyFont="1" applyFill="1" applyBorder="1" applyAlignment="1">
      <alignment horizontal="right" vertical="center"/>
    </xf>
    <xf numFmtId="3" fontId="25" fillId="7" borderId="80" xfId="2" applyNumberFormat="1" applyFont="1" applyFill="1" applyBorder="1" applyAlignment="1">
      <alignment horizontal="right" vertical="center"/>
    </xf>
    <xf numFmtId="3" fontId="25" fillId="7" borderId="81" xfId="2" applyNumberFormat="1" applyFont="1" applyFill="1" applyBorder="1" applyAlignment="1">
      <alignment horizontal="right" vertical="center"/>
    </xf>
    <xf numFmtId="3" fontId="7" fillId="7" borderId="9" xfId="2" applyNumberFormat="1" applyFont="1" applyFill="1" applyBorder="1" applyAlignment="1">
      <alignment horizontal="right" vertical="center"/>
    </xf>
    <xf numFmtId="165" fontId="7" fillId="7" borderId="10" xfId="2" applyNumberFormat="1" applyFont="1" applyFill="1" applyBorder="1" applyAlignment="1">
      <alignment horizontal="right" vertical="center"/>
    </xf>
    <xf numFmtId="3" fontId="7" fillId="7" borderId="10" xfId="2" applyNumberFormat="1" applyFont="1" applyFill="1" applyBorder="1" applyAlignment="1">
      <alignment horizontal="right" vertical="center"/>
    </xf>
    <xf numFmtId="3" fontId="29" fillId="7" borderId="80" xfId="2" applyNumberFormat="1" applyFont="1" applyFill="1" applyBorder="1" applyAlignment="1">
      <alignment horizontal="right" vertical="center"/>
    </xf>
    <xf numFmtId="3" fontId="6" fillId="2" borderId="80" xfId="2" applyNumberFormat="1" applyFont="1" applyFill="1" applyBorder="1" applyAlignment="1"/>
    <xf numFmtId="3" fontId="7" fillId="0" borderId="10" xfId="2" applyNumberFormat="1" applyFont="1" applyFill="1" applyBorder="1" applyAlignment="1">
      <alignment vertical="top"/>
    </xf>
    <xf numFmtId="3" fontId="7" fillId="0" borderId="102" xfId="2" applyNumberFormat="1" applyFont="1" applyFill="1" applyBorder="1" applyAlignment="1">
      <alignment vertical="top"/>
    </xf>
    <xf numFmtId="0" fontId="5" fillId="7" borderId="22" xfId="2" applyFont="1" applyFill="1" applyBorder="1" applyAlignment="1">
      <alignment horizontal="left" vertical="center" wrapText="1"/>
    </xf>
    <xf numFmtId="0" fontId="34" fillId="7" borderId="84" xfId="2" applyFont="1" applyFill="1" applyBorder="1" applyAlignment="1">
      <alignment horizontal="center" vertical="center" wrapText="1"/>
    </xf>
    <xf numFmtId="3" fontId="7" fillId="7" borderId="19" xfId="2" applyNumberFormat="1" applyFont="1" applyFill="1" applyBorder="1" applyAlignment="1">
      <alignment horizontal="right" vertical="center"/>
    </xf>
    <xf numFmtId="165" fontId="7" fillId="7" borderId="22" xfId="2" applyNumberFormat="1" applyFont="1" applyFill="1" applyBorder="1" applyAlignment="1">
      <alignment horizontal="right" vertical="center"/>
    </xf>
    <xf numFmtId="3" fontId="7" fillId="7" borderId="22" xfId="2" applyNumberFormat="1" applyFont="1" applyFill="1" applyBorder="1" applyAlignment="1">
      <alignment horizontal="right" vertical="center"/>
    </xf>
    <xf numFmtId="3" fontId="20" fillId="4" borderId="77" xfId="2" applyNumberFormat="1" applyFont="1" applyFill="1" applyBorder="1" applyAlignment="1">
      <alignment vertical="center"/>
    </xf>
    <xf numFmtId="165" fontId="6" fillId="0" borderId="10" xfId="2" applyNumberFormat="1" applyFont="1" applyFill="1" applyBorder="1" applyAlignment="1">
      <alignment horizontal="right" vertical="center"/>
    </xf>
    <xf numFmtId="3" fontId="40" fillId="0" borderId="0" xfId="0" applyNumberFormat="1" applyFont="1" applyFill="1"/>
    <xf numFmtId="3" fontId="25" fillId="7" borderId="63" xfId="2" applyNumberFormat="1" applyFont="1" applyFill="1" applyBorder="1" applyAlignment="1">
      <alignment horizontal="right" vertical="center"/>
    </xf>
    <xf numFmtId="3" fontId="15" fillId="4" borderId="54" xfId="2" applyNumberFormat="1" applyFont="1" applyFill="1" applyBorder="1" applyAlignment="1">
      <alignment vertical="center"/>
    </xf>
    <xf numFmtId="3" fontId="25" fillId="0" borderId="64" xfId="2" applyNumberFormat="1" applyFont="1" applyFill="1" applyBorder="1" applyAlignment="1">
      <alignment vertical="top"/>
    </xf>
    <xf numFmtId="0" fontId="5" fillId="8" borderId="80" xfId="2" applyFont="1" applyFill="1" applyBorder="1" applyAlignment="1">
      <alignment horizontal="left" vertical="center" wrapText="1"/>
    </xf>
    <xf numFmtId="0" fontId="34" fillId="8" borderId="81" xfId="2" applyFont="1" applyFill="1" applyBorder="1" applyAlignment="1">
      <alignment horizontal="center" vertical="center" wrapText="1"/>
    </xf>
    <xf numFmtId="3" fontId="25" fillId="8" borderId="9" xfId="2" applyNumberFormat="1" applyFont="1" applyFill="1" applyBorder="1" applyAlignment="1">
      <alignment horizontal="right" vertical="center"/>
    </xf>
    <xf numFmtId="3" fontId="25" fillId="8" borderId="80" xfId="2" applyNumberFormat="1" applyFont="1" applyFill="1" applyBorder="1" applyAlignment="1">
      <alignment horizontal="right" vertical="center"/>
    </xf>
    <xf numFmtId="3" fontId="25" fillId="8" borderId="81" xfId="2" applyNumberFormat="1" applyFont="1" applyFill="1" applyBorder="1" applyAlignment="1">
      <alignment horizontal="right" vertical="center"/>
    </xf>
    <xf numFmtId="3" fontId="7" fillId="8" borderId="82" xfId="2" applyNumberFormat="1" applyFont="1" applyFill="1" applyBorder="1" applyAlignment="1">
      <alignment horizontal="right" vertical="center"/>
    </xf>
    <xf numFmtId="165" fontId="7" fillId="8" borderId="10" xfId="2" applyNumberFormat="1" applyFont="1" applyFill="1" applyBorder="1" applyAlignment="1">
      <alignment horizontal="right" vertical="center"/>
    </xf>
    <xf numFmtId="3" fontId="7" fillId="8" borderId="80" xfId="2" applyNumberFormat="1" applyFont="1" applyFill="1" applyBorder="1" applyAlignment="1">
      <alignment horizontal="right" vertical="center"/>
    </xf>
    <xf numFmtId="3" fontId="29" fillId="8" borderId="80" xfId="2" applyNumberFormat="1" applyFont="1" applyFill="1" applyBorder="1" applyAlignment="1">
      <alignment horizontal="right" vertical="center"/>
    </xf>
    <xf numFmtId="3" fontId="20" fillId="4" borderId="8" xfId="2" applyNumberFormat="1" applyFont="1" applyFill="1" applyBorder="1" applyAlignment="1">
      <alignment vertical="center"/>
    </xf>
    <xf numFmtId="43" fontId="25" fillId="4" borderId="64" xfId="1" applyFont="1" applyFill="1" applyBorder="1" applyAlignment="1">
      <alignment vertical="center"/>
    </xf>
    <xf numFmtId="43" fontId="25" fillId="4" borderId="65" xfId="1" applyFont="1" applyFill="1" applyBorder="1" applyAlignment="1">
      <alignment vertical="center"/>
    </xf>
    <xf numFmtId="43" fontId="25" fillId="4" borderId="8" xfId="1" applyFont="1" applyFill="1" applyBorder="1" applyAlignment="1">
      <alignment vertical="center"/>
    </xf>
    <xf numFmtId="43" fontId="25" fillId="4" borderId="10" xfId="1" applyFont="1" applyFill="1" applyBorder="1" applyAlignment="1">
      <alignment vertical="center"/>
    </xf>
    <xf numFmtId="43" fontId="29" fillId="4" borderId="65" xfId="1" applyFont="1" applyFill="1" applyBorder="1" applyAlignment="1">
      <alignment vertical="center"/>
    </xf>
    <xf numFmtId="0" fontId="6" fillId="0" borderId="102" xfId="2" applyFont="1" applyFill="1" applyBorder="1" applyAlignment="1">
      <alignment vertical="top"/>
    </xf>
    <xf numFmtId="43" fontId="37" fillId="0" borderId="64" xfId="1" applyFont="1" applyFill="1" applyBorder="1" applyAlignment="1">
      <alignment horizontal="right" vertical="center"/>
    </xf>
    <xf numFmtId="43" fontId="37" fillId="0" borderId="103" xfId="1" applyFont="1" applyFill="1" applyBorder="1" applyAlignment="1">
      <alignment horizontal="right" vertical="center"/>
    </xf>
    <xf numFmtId="43" fontId="37" fillId="0" borderId="9" xfId="1" applyFont="1" applyFill="1" applyBorder="1" applyAlignment="1">
      <alignment horizontal="right" vertical="center"/>
    </xf>
    <xf numFmtId="43" fontId="37" fillId="0" borderId="10" xfId="1" applyFont="1" applyFill="1" applyBorder="1" applyAlignment="1">
      <alignment horizontal="right" vertical="center"/>
    </xf>
    <xf numFmtId="43" fontId="10" fillId="0" borderId="65" xfId="1" applyFont="1" applyFill="1" applyBorder="1" applyAlignment="1">
      <alignment horizontal="right" vertical="center"/>
    </xf>
    <xf numFmtId="43" fontId="25" fillId="0" borderId="64" xfId="1" applyFont="1" applyFill="1" applyBorder="1" applyAlignment="1">
      <alignment vertical="top"/>
    </xf>
    <xf numFmtId="0" fontId="7" fillId="0" borderId="30" xfId="2" applyFont="1" applyFill="1" applyBorder="1" applyAlignment="1">
      <alignment vertical="top"/>
    </xf>
    <xf numFmtId="43" fontId="25" fillId="0" borderId="28" xfId="1" applyFont="1" applyFill="1" applyBorder="1" applyAlignment="1">
      <alignment vertical="top"/>
    </xf>
    <xf numFmtId="43" fontId="25" fillId="0" borderId="59" xfId="1" applyFont="1" applyFill="1" applyBorder="1" applyAlignment="1">
      <alignment vertical="top"/>
    </xf>
    <xf numFmtId="43" fontId="25" fillId="0" borderId="30" xfId="1" applyFont="1" applyFill="1" applyBorder="1" applyAlignment="1">
      <alignment vertical="top"/>
    </xf>
    <xf numFmtId="0" fontId="6" fillId="0" borderId="5" xfId="2" applyFont="1" applyFill="1" applyBorder="1" applyAlignment="1">
      <alignment horizontal="left" vertical="center"/>
    </xf>
    <xf numFmtId="43" fontId="37" fillId="0" borderId="23" xfId="1" applyFont="1" applyFill="1" applyBorder="1" applyAlignment="1">
      <alignment horizontal="right" vertical="center"/>
    </xf>
    <xf numFmtId="43" fontId="37" fillId="0" borderId="58" xfId="1" applyFont="1" applyFill="1" applyBorder="1" applyAlignment="1">
      <alignment horizontal="right" vertical="center"/>
    </xf>
    <xf numFmtId="43" fontId="37" fillId="0" borderId="5" xfId="1" applyFont="1" applyFill="1" applyBorder="1" applyAlignment="1">
      <alignment horizontal="right" vertical="center"/>
    </xf>
    <xf numFmtId="0" fontId="7" fillId="0" borderId="6" xfId="2" applyFont="1" applyFill="1" applyBorder="1" applyAlignment="1">
      <alignment vertical="top"/>
    </xf>
    <xf numFmtId="43" fontId="25" fillId="0" borderId="3" xfId="1" applyFont="1" applyFill="1" applyBorder="1" applyAlignment="1">
      <alignment vertical="top"/>
    </xf>
    <xf numFmtId="43" fontId="25" fillId="0" borderId="2" xfId="1" applyFont="1" applyFill="1" applyBorder="1" applyAlignment="1">
      <alignment vertical="top"/>
    </xf>
    <xf numFmtId="43" fontId="25" fillId="0" borderId="6" xfId="1" applyFont="1" applyFill="1" applyBorder="1" applyAlignment="1">
      <alignment vertical="top"/>
    </xf>
    <xf numFmtId="3" fontId="20" fillId="4" borderId="66" xfId="2" applyNumberFormat="1" applyFont="1" applyFill="1" applyBorder="1" applyAlignment="1">
      <alignment vertical="center"/>
    </xf>
    <xf numFmtId="43" fontId="37" fillId="0" borderId="66" xfId="1" applyFont="1" applyFill="1" applyBorder="1" applyAlignment="1">
      <alignment horizontal="right" vertical="center"/>
    </xf>
    <xf numFmtId="43" fontId="25" fillId="0" borderId="10" xfId="1" applyFont="1" applyFill="1" applyBorder="1" applyAlignment="1">
      <alignment vertical="top"/>
    </xf>
    <xf numFmtId="43" fontId="25" fillId="0" borderId="8" xfId="1" applyFont="1" applyFill="1" applyBorder="1" applyAlignment="1">
      <alignment vertical="top"/>
    </xf>
    <xf numFmtId="43" fontId="29" fillId="0" borderId="10" xfId="1" applyFont="1" applyFill="1" applyBorder="1" applyAlignment="1">
      <alignment vertical="top"/>
    </xf>
    <xf numFmtId="43" fontId="25" fillId="0" borderId="70" xfId="1" applyFont="1" applyFill="1" applyBorder="1" applyAlignment="1">
      <alignment vertical="top"/>
    </xf>
    <xf numFmtId="43" fontId="25" fillId="0" borderId="72" xfId="1" applyFont="1" applyFill="1" applyBorder="1" applyAlignment="1">
      <alignment vertical="top"/>
    </xf>
    <xf numFmtId="0" fontId="34" fillId="0" borderId="28" xfId="2" applyFont="1" applyFill="1" applyBorder="1" applyAlignment="1">
      <alignment horizontal="center" vertical="center"/>
    </xf>
    <xf numFmtId="0" fontId="22" fillId="0" borderId="30" xfId="2" applyFont="1" applyFill="1" applyBorder="1" applyAlignment="1">
      <alignment horizontal="left" vertical="center"/>
    </xf>
    <xf numFmtId="0" fontId="35" fillId="0" borderId="59" xfId="0" applyFont="1" applyBorder="1" applyAlignment="1">
      <alignment wrapText="1"/>
    </xf>
    <xf numFmtId="0" fontId="25" fillId="0" borderId="28" xfId="0" applyFont="1" applyBorder="1" applyAlignment="1">
      <alignment vertical="top"/>
    </xf>
    <xf numFmtId="0" fontId="25" fillId="0" borderId="30" xfId="0" applyFont="1" applyBorder="1" applyAlignment="1">
      <alignment vertical="top"/>
    </xf>
    <xf numFmtId="0" fontId="25" fillId="0" borderId="59" xfId="0" applyFont="1" applyBorder="1" applyAlignment="1">
      <alignment vertical="top"/>
    </xf>
    <xf numFmtId="165" fontId="25" fillId="0" borderId="30" xfId="0" applyNumberFormat="1" applyFont="1" applyBorder="1" applyAlignment="1">
      <alignment vertical="top"/>
    </xf>
    <xf numFmtId="3" fontId="22" fillId="0" borderId="30" xfId="2" applyNumberFormat="1" applyFont="1" applyFill="1" applyBorder="1" applyAlignment="1">
      <alignment horizontal="right" vertical="center"/>
    </xf>
    <xf numFmtId="0" fontId="17" fillId="0" borderId="30" xfId="0" applyFont="1" applyBorder="1" applyAlignment="1">
      <alignment vertical="top"/>
    </xf>
    <xf numFmtId="0" fontId="33" fillId="0" borderId="59" xfId="2" applyFont="1" applyFill="1" applyBorder="1" applyAlignment="1">
      <alignment horizontal="center" vertical="center" wrapText="1"/>
    </xf>
    <xf numFmtId="0" fontId="34" fillId="0" borderId="23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vertical="top"/>
    </xf>
    <xf numFmtId="0" fontId="35" fillId="0" borderId="58" xfId="0" applyFont="1" applyBorder="1" applyAlignment="1">
      <alignment wrapText="1"/>
    </xf>
    <xf numFmtId="3" fontId="25" fillId="0" borderId="23" xfId="2" applyNumberFormat="1" applyFont="1" applyFill="1" applyBorder="1" applyAlignment="1">
      <alignment vertical="top"/>
    </xf>
    <xf numFmtId="3" fontId="25" fillId="0" borderId="5" xfId="2" applyNumberFormat="1" applyFont="1" applyFill="1" applyBorder="1" applyAlignment="1">
      <alignment vertical="top"/>
    </xf>
    <xf numFmtId="3" fontId="25" fillId="0" borderId="58" xfId="2" applyNumberFormat="1" applyFont="1" applyFill="1" applyBorder="1" applyAlignment="1">
      <alignment vertical="top"/>
    </xf>
    <xf numFmtId="3" fontId="7" fillId="0" borderId="23" xfId="2" applyNumberFormat="1" applyFont="1" applyFill="1" applyBorder="1" applyAlignment="1">
      <alignment vertical="top"/>
    </xf>
    <xf numFmtId="165" fontId="7" fillId="0" borderId="5" xfId="2" applyNumberFormat="1" applyFont="1" applyFill="1" applyBorder="1" applyAlignment="1">
      <alignment vertical="top"/>
    </xf>
    <xf numFmtId="3" fontId="7" fillId="0" borderId="5" xfId="2" applyNumberFormat="1" applyFont="1" applyFill="1" applyBorder="1" applyAlignment="1">
      <alignment vertical="top"/>
    </xf>
    <xf numFmtId="3" fontId="29" fillId="0" borderId="5" xfId="2" applyNumberFormat="1" applyFont="1" applyFill="1" applyBorder="1" applyAlignment="1">
      <alignment vertical="top"/>
    </xf>
    <xf numFmtId="0" fontId="33" fillId="0" borderId="58" xfId="2" applyFont="1" applyFill="1" applyBorder="1" applyAlignment="1">
      <alignment horizontal="center" vertical="center" wrapText="1"/>
    </xf>
    <xf numFmtId="0" fontId="34" fillId="0" borderId="3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vertical="top" wrapText="1"/>
    </xf>
    <xf numFmtId="0" fontId="35" fillId="0" borderId="2" xfId="0" applyFont="1" applyBorder="1" applyAlignment="1">
      <alignment wrapText="1"/>
    </xf>
    <xf numFmtId="3" fontId="25" fillId="0" borderId="3" xfId="2" applyNumberFormat="1" applyFont="1" applyFill="1" applyBorder="1" applyAlignment="1">
      <alignment horizontal="right" vertical="center"/>
    </xf>
    <xf numFmtId="3" fontId="25" fillId="0" borderId="6" xfId="2" applyNumberFormat="1" applyFont="1" applyFill="1" applyBorder="1" applyAlignment="1">
      <alignment horizontal="right" vertical="center"/>
    </xf>
    <xf numFmtId="3" fontId="25" fillId="0" borderId="2" xfId="2" applyNumberFormat="1" applyFont="1" applyFill="1" applyBorder="1" applyAlignment="1">
      <alignment horizontal="right" vertical="center"/>
    </xf>
    <xf numFmtId="3" fontId="7" fillId="0" borderId="3" xfId="2" applyNumberFormat="1" applyFont="1" applyFill="1" applyBorder="1" applyAlignment="1">
      <alignment horizontal="right" vertical="center"/>
    </xf>
    <xf numFmtId="165" fontId="7" fillId="0" borderId="6" xfId="2" applyNumberFormat="1" applyFont="1" applyFill="1" applyBorder="1" applyAlignment="1">
      <alignment horizontal="right" vertical="center"/>
    </xf>
    <xf numFmtId="3" fontId="7" fillId="0" borderId="6" xfId="2" applyNumberFormat="1" applyFont="1" applyFill="1" applyBorder="1" applyAlignment="1">
      <alignment horizontal="right" vertical="center"/>
    </xf>
    <xf numFmtId="3" fontId="29" fillId="0" borderId="6" xfId="2" applyNumberFormat="1" applyFont="1" applyFill="1" applyBorder="1" applyAlignment="1">
      <alignment horizontal="right" vertical="center"/>
    </xf>
    <xf numFmtId="0" fontId="33" fillId="0" borderId="2" xfId="2" applyFont="1" applyFill="1" applyBorder="1" applyAlignment="1">
      <alignment horizontal="center" vertical="center" wrapText="1"/>
    </xf>
    <xf numFmtId="0" fontId="5" fillId="9" borderId="30" xfId="2" applyFont="1" applyFill="1" applyBorder="1" applyAlignment="1">
      <alignment horizontal="left" vertical="center" wrapText="1"/>
    </xf>
    <xf numFmtId="0" fontId="34" fillId="9" borderId="59" xfId="2" applyFont="1" applyFill="1" applyBorder="1" applyAlignment="1">
      <alignment horizontal="center" vertical="center" wrapText="1"/>
    </xf>
    <xf numFmtId="3" fontId="25" fillId="9" borderId="28" xfId="2" applyNumberFormat="1" applyFont="1" applyFill="1" applyBorder="1" applyAlignment="1">
      <alignment horizontal="right" vertical="center"/>
    </xf>
    <xf numFmtId="3" fontId="25" fillId="9" borderId="30" xfId="2" applyNumberFormat="1" applyFont="1" applyFill="1" applyBorder="1" applyAlignment="1">
      <alignment horizontal="right" vertical="center"/>
    </xf>
    <xf numFmtId="3" fontId="25" fillId="9" borderId="59" xfId="2" applyNumberFormat="1" applyFont="1" applyFill="1" applyBorder="1" applyAlignment="1">
      <alignment horizontal="right" vertical="center"/>
    </xf>
    <xf numFmtId="3" fontId="7" fillId="9" borderId="28" xfId="2" applyNumberFormat="1" applyFont="1" applyFill="1" applyBorder="1" applyAlignment="1">
      <alignment horizontal="right" vertical="center"/>
    </xf>
    <xf numFmtId="165" fontId="7" fillId="9" borderId="30" xfId="2" applyNumberFormat="1" applyFont="1" applyFill="1" applyBorder="1" applyAlignment="1">
      <alignment horizontal="right" vertical="center"/>
    </xf>
    <xf numFmtId="3" fontId="7" fillId="9" borderId="30" xfId="2" applyNumberFormat="1" applyFont="1" applyFill="1" applyBorder="1" applyAlignment="1">
      <alignment horizontal="right" vertical="center"/>
    </xf>
    <xf numFmtId="3" fontId="29" fillId="9" borderId="30" xfId="2" applyNumberFormat="1" applyFont="1" applyFill="1" applyBorder="1" applyAlignment="1">
      <alignment horizontal="right" vertical="center"/>
    </xf>
    <xf numFmtId="0" fontId="20" fillId="4" borderId="58" xfId="2" applyFont="1" applyFill="1" applyBorder="1" applyAlignment="1">
      <alignment horizontal="left" vertical="center"/>
    </xf>
    <xf numFmtId="3" fontId="15" fillId="4" borderId="23" xfId="2" applyNumberFormat="1" applyFont="1" applyFill="1" applyBorder="1" applyAlignment="1">
      <alignment horizontal="right" vertical="center"/>
    </xf>
    <xf numFmtId="3" fontId="15" fillId="4" borderId="5" xfId="2" applyNumberFormat="1" applyFont="1" applyFill="1" applyBorder="1" applyAlignment="1">
      <alignment horizontal="right" vertical="center"/>
    </xf>
    <xf numFmtId="3" fontId="15" fillId="4" borderId="58" xfId="2" applyNumberFormat="1" applyFont="1" applyFill="1" applyBorder="1" applyAlignment="1">
      <alignment horizontal="right" vertical="center"/>
    </xf>
    <xf numFmtId="3" fontId="5" fillId="4" borderId="23" xfId="2" applyNumberFormat="1" applyFont="1" applyFill="1" applyBorder="1" applyAlignment="1">
      <alignment horizontal="right" vertical="center"/>
    </xf>
    <xf numFmtId="165" fontId="5" fillId="4" borderId="5" xfId="2" applyNumberFormat="1" applyFont="1" applyFill="1" applyBorder="1" applyAlignment="1">
      <alignment horizontal="right" vertical="center"/>
    </xf>
    <xf numFmtId="3" fontId="5" fillId="4" borderId="5" xfId="2" applyNumberFormat="1" applyFont="1" applyFill="1" applyBorder="1" applyAlignment="1">
      <alignment horizontal="right" vertical="center"/>
    </xf>
    <xf numFmtId="3" fontId="20" fillId="4" borderId="5" xfId="2" applyNumberFormat="1" applyFont="1" applyFill="1" applyBorder="1" applyAlignment="1">
      <alignment horizontal="right" vertical="center"/>
    </xf>
    <xf numFmtId="0" fontId="6" fillId="0" borderId="5" xfId="2" applyFont="1" applyFill="1" applyBorder="1" applyAlignment="1">
      <alignment vertical="top"/>
    </xf>
    <xf numFmtId="3" fontId="22" fillId="0" borderId="23" xfId="2" applyNumberFormat="1" applyFont="1" applyFill="1" applyBorder="1" applyAlignment="1">
      <alignment horizontal="right" vertical="center"/>
    </xf>
    <xf numFmtId="3" fontId="22" fillId="0" borderId="5" xfId="2" applyNumberFormat="1" applyFont="1" applyFill="1" applyBorder="1" applyAlignment="1">
      <alignment horizontal="right" vertical="center"/>
    </xf>
    <xf numFmtId="3" fontId="22" fillId="0" borderId="58" xfId="2" applyNumberFormat="1" applyFont="1" applyFill="1" applyBorder="1" applyAlignment="1">
      <alignment horizontal="right" vertical="center"/>
    </xf>
    <xf numFmtId="165" fontId="22" fillId="0" borderId="5" xfId="2" applyNumberFormat="1" applyFont="1" applyFill="1" applyBorder="1" applyAlignment="1">
      <alignment horizontal="right" vertical="center"/>
    </xf>
    <xf numFmtId="3" fontId="30" fillId="0" borderId="5" xfId="2" applyNumberFormat="1" applyFont="1" applyFill="1" applyBorder="1" applyAlignment="1">
      <alignment horizontal="right" vertical="center"/>
    </xf>
    <xf numFmtId="0" fontId="34" fillId="0" borderId="3" xfId="2" applyFont="1" applyFill="1" applyBorder="1" applyAlignment="1">
      <alignment horizontal="center" vertical="top"/>
    </xf>
    <xf numFmtId="0" fontId="5" fillId="8" borderId="22" xfId="2" applyFont="1" applyFill="1" applyBorder="1" applyAlignment="1">
      <alignment horizontal="left" vertical="center" wrapText="1"/>
    </xf>
    <xf numFmtId="0" fontId="34" fillId="8" borderId="84" xfId="2" applyFont="1" applyFill="1" applyBorder="1" applyAlignment="1">
      <alignment horizontal="center" vertical="center" wrapText="1"/>
    </xf>
    <xf numFmtId="3" fontId="25" fillId="8" borderId="19" xfId="2" applyNumberFormat="1" applyFont="1" applyFill="1" applyBorder="1" applyAlignment="1">
      <alignment horizontal="right" vertical="center"/>
    </xf>
    <xf numFmtId="3" fontId="25" fillId="8" borderId="22" xfId="2" applyNumberFormat="1" applyFont="1" applyFill="1" applyBorder="1" applyAlignment="1">
      <alignment horizontal="right" vertical="center"/>
    </xf>
    <xf numFmtId="3" fontId="25" fillId="8" borderId="84" xfId="2" applyNumberFormat="1" applyFont="1" applyFill="1" applyBorder="1" applyAlignment="1">
      <alignment horizontal="right" vertical="center"/>
    </xf>
    <xf numFmtId="3" fontId="7" fillId="8" borderId="60" xfId="2" applyNumberFormat="1" applyFont="1" applyFill="1" applyBorder="1" applyAlignment="1">
      <alignment horizontal="right" vertical="center"/>
    </xf>
    <xf numFmtId="165" fontId="7" fillId="8" borderId="61" xfId="2" applyNumberFormat="1" applyFont="1" applyFill="1" applyBorder="1" applyAlignment="1">
      <alignment horizontal="right" vertical="center"/>
    </xf>
    <xf numFmtId="3" fontId="7" fillId="8" borderId="22" xfId="2" applyNumberFormat="1" applyFont="1" applyFill="1" applyBorder="1" applyAlignment="1">
      <alignment horizontal="right" vertical="center"/>
    </xf>
    <xf numFmtId="3" fontId="29" fillId="8" borderId="22" xfId="2" applyNumberFormat="1" applyFont="1" applyFill="1" applyBorder="1" applyAlignment="1">
      <alignment horizontal="right" vertical="center"/>
    </xf>
    <xf numFmtId="3" fontId="20" fillId="4" borderId="103" xfId="2" applyNumberFormat="1" applyFont="1" applyFill="1" applyBorder="1" applyAlignment="1">
      <alignment vertical="center"/>
    </xf>
    <xf numFmtId="43" fontId="15" fillId="4" borderId="64" xfId="1" applyFont="1" applyFill="1" applyBorder="1" applyAlignment="1">
      <alignment vertical="center"/>
    </xf>
    <xf numFmtId="43" fontId="15" fillId="4" borderId="65" xfId="1" applyFont="1" applyFill="1" applyBorder="1" applyAlignment="1">
      <alignment vertical="center"/>
    </xf>
    <xf numFmtId="43" fontId="15" fillId="4" borderId="66" xfId="1" applyFont="1" applyFill="1" applyBorder="1" applyAlignment="1">
      <alignment vertical="center"/>
    </xf>
    <xf numFmtId="43" fontId="15" fillId="4" borderId="9" xfId="1" applyFont="1" applyFill="1" applyBorder="1" applyAlignment="1">
      <alignment vertical="center"/>
    </xf>
    <xf numFmtId="43" fontId="20" fillId="4" borderId="65" xfId="1" applyFont="1" applyFill="1" applyBorder="1" applyAlignment="1">
      <alignment vertical="center"/>
    </xf>
    <xf numFmtId="43" fontId="22" fillId="0" borderId="64" xfId="1" applyFont="1" applyFill="1" applyBorder="1" applyAlignment="1">
      <alignment horizontal="right" vertical="center"/>
    </xf>
    <xf numFmtId="43" fontId="30" fillId="0" borderId="65" xfId="1" applyFont="1" applyFill="1" applyBorder="1" applyAlignment="1">
      <alignment horizontal="right" vertical="center"/>
    </xf>
    <xf numFmtId="43" fontId="25" fillId="0" borderId="80" xfId="1" applyFont="1" applyFill="1" applyBorder="1" applyAlignment="1">
      <alignment vertical="top"/>
    </xf>
    <xf numFmtId="43" fontId="25" fillId="0" borderId="102" xfId="1" applyFont="1" applyFill="1" applyBorder="1" applyAlignment="1">
      <alignment vertical="top"/>
    </xf>
    <xf numFmtId="43" fontId="25" fillId="0" borderId="101" xfId="1" applyFont="1" applyFill="1" applyBorder="1" applyAlignment="1">
      <alignment vertical="top"/>
    </xf>
    <xf numFmtId="43" fontId="22" fillId="0" borderId="102" xfId="1" applyFont="1" applyFill="1" applyBorder="1" applyAlignment="1">
      <alignment horizontal="right" vertical="center"/>
    </xf>
    <xf numFmtId="43" fontId="15" fillId="4" borderId="101" xfId="1" applyFont="1" applyFill="1" applyBorder="1" applyAlignment="1">
      <alignment vertical="center"/>
    </xf>
    <xf numFmtId="43" fontId="15" fillId="4" borderId="102" xfId="1" applyFont="1" applyFill="1" applyBorder="1" applyAlignment="1">
      <alignment vertical="center"/>
    </xf>
    <xf numFmtId="3" fontId="29" fillId="0" borderId="15" xfId="2" applyNumberFormat="1" applyFont="1" applyFill="1" applyBorder="1" applyAlignment="1">
      <alignment horizontal="right" vertical="center"/>
    </xf>
    <xf numFmtId="3" fontId="20" fillId="4" borderId="58" xfId="2" applyNumberFormat="1" applyFont="1" applyFill="1" applyBorder="1" applyAlignment="1">
      <alignment vertical="center"/>
    </xf>
    <xf numFmtId="3" fontId="15" fillId="4" borderId="23" xfId="2" applyNumberFormat="1" applyFont="1" applyFill="1" applyBorder="1" applyAlignment="1">
      <alignment vertical="center"/>
    </xf>
    <xf numFmtId="3" fontId="15" fillId="4" borderId="5" xfId="2" applyNumberFormat="1" applyFont="1" applyFill="1" applyBorder="1" applyAlignment="1">
      <alignment vertical="center"/>
    </xf>
    <xf numFmtId="3" fontId="15" fillId="4" borderId="58" xfId="2" applyNumberFormat="1" applyFont="1" applyFill="1" applyBorder="1" applyAlignment="1">
      <alignment vertical="center"/>
    </xf>
    <xf numFmtId="165" fontId="15" fillId="4" borderId="5" xfId="2" applyNumberFormat="1" applyFont="1" applyFill="1" applyBorder="1" applyAlignment="1">
      <alignment vertical="center"/>
    </xf>
    <xf numFmtId="3" fontId="20" fillId="4" borderId="5" xfId="2" applyNumberFormat="1" applyFont="1" applyFill="1" applyBorder="1" applyAlignment="1">
      <alignment vertical="center"/>
    </xf>
    <xf numFmtId="0" fontId="22" fillId="0" borderId="5" xfId="2" applyFont="1" applyFill="1" applyBorder="1" applyAlignment="1">
      <alignment horizontal="left" vertical="center"/>
    </xf>
    <xf numFmtId="3" fontId="25" fillId="0" borderId="3" xfId="2" applyNumberFormat="1" applyFont="1" applyFill="1" applyBorder="1" applyAlignment="1">
      <alignment vertical="top"/>
    </xf>
    <xf numFmtId="3" fontId="25" fillId="0" borderId="6" xfId="2" applyNumberFormat="1" applyFont="1" applyFill="1" applyBorder="1" applyAlignment="1">
      <alignment vertical="top"/>
    </xf>
    <xf numFmtId="3" fontId="25" fillId="0" borderId="2" xfId="2" applyNumberFormat="1" applyFont="1" applyFill="1" applyBorder="1" applyAlignment="1">
      <alignment vertical="top"/>
    </xf>
    <xf numFmtId="3" fontId="7" fillId="0" borderId="3" xfId="2" applyNumberFormat="1" applyFont="1" applyFill="1" applyBorder="1" applyAlignment="1">
      <alignment vertical="top"/>
    </xf>
    <xf numFmtId="165" fontId="7" fillId="0" borderId="6" xfId="2" applyNumberFormat="1" applyFont="1" applyFill="1" applyBorder="1" applyAlignment="1">
      <alignment vertical="top"/>
    </xf>
    <xf numFmtId="3" fontId="7" fillId="0" borderId="6" xfId="2" applyNumberFormat="1" applyFont="1" applyFill="1" applyBorder="1" applyAlignment="1">
      <alignment vertical="top"/>
    </xf>
    <xf numFmtId="3" fontId="29" fillId="0" borderId="6" xfId="2" applyNumberFormat="1" applyFont="1" applyFill="1" applyBorder="1" applyAlignment="1">
      <alignment vertical="top"/>
    </xf>
    <xf numFmtId="3" fontId="25" fillId="0" borderId="80" xfId="2" applyNumberFormat="1" applyFont="1" applyFill="1" applyBorder="1" applyAlignment="1">
      <alignment vertical="top"/>
    </xf>
    <xf numFmtId="3" fontId="25" fillId="0" borderId="9" xfId="2" applyNumberFormat="1" applyFont="1" applyFill="1" applyBorder="1" applyAlignment="1">
      <alignment vertical="top"/>
    </xf>
    <xf numFmtId="3" fontId="25" fillId="0" borderId="66" xfId="2" applyNumberFormat="1" applyFont="1" applyFill="1" applyBorder="1" applyAlignment="1">
      <alignment vertical="top"/>
    </xf>
    <xf numFmtId="0" fontId="16" fillId="0" borderId="14" xfId="0" applyFont="1" applyBorder="1"/>
    <xf numFmtId="3" fontId="25" fillId="0" borderId="72" xfId="2" applyNumberFormat="1" applyFont="1" applyFill="1" applyBorder="1" applyAlignment="1">
      <alignment vertical="top"/>
    </xf>
    <xf numFmtId="3" fontId="25" fillId="0" borderId="70" xfId="2" applyNumberFormat="1" applyFont="1" applyFill="1" applyBorder="1" applyAlignment="1">
      <alignment vertical="top"/>
    </xf>
    <xf numFmtId="3" fontId="29" fillId="0" borderId="71" xfId="2" applyNumberFormat="1" applyFont="1" applyFill="1" applyBorder="1" applyAlignment="1">
      <alignment vertical="top"/>
    </xf>
    <xf numFmtId="0" fontId="5" fillId="7" borderId="109" xfId="2" applyFont="1" applyFill="1" applyBorder="1" applyAlignment="1">
      <alignment horizontal="left" vertical="center" wrapText="1"/>
    </xf>
    <xf numFmtId="0" fontId="34" fillId="7" borderId="61" xfId="2" applyFont="1" applyFill="1" applyBorder="1" applyAlignment="1">
      <alignment horizontal="center" vertical="center" wrapText="1"/>
    </xf>
    <xf numFmtId="0" fontId="5" fillId="4" borderId="85" xfId="2" applyFont="1" applyFill="1" applyBorder="1" applyAlignment="1">
      <alignment horizontal="left" vertical="center"/>
    </xf>
    <xf numFmtId="0" fontId="6" fillId="0" borderId="91" xfId="2" applyFont="1" applyFill="1" applyBorder="1" applyAlignment="1">
      <alignment vertical="top"/>
    </xf>
    <xf numFmtId="0" fontId="7" fillId="0" borderId="74" xfId="2" applyFont="1" applyFill="1" applyBorder="1" applyAlignment="1">
      <alignment vertical="top"/>
    </xf>
    <xf numFmtId="0" fontId="6" fillId="0" borderId="74" xfId="2" applyFont="1" applyFill="1" applyBorder="1" applyAlignment="1">
      <alignment horizontal="left" vertical="center"/>
    </xf>
    <xf numFmtId="0" fontId="6" fillId="0" borderId="91" xfId="2" applyFont="1" applyFill="1" applyBorder="1" applyAlignment="1">
      <alignment horizontal="left" vertical="center"/>
    </xf>
    <xf numFmtId="0" fontId="7" fillId="0" borderId="75" xfId="2" applyFont="1" applyFill="1" applyBorder="1" applyAlignment="1">
      <alignment vertical="top" wrapText="1"/>
    </xf>
    <xf numFmtId="43" fontId="22" fillId="2" borderId="117" xfId="1" quotePrefix="1" applyFont="1" applyFill="1" applyBorder="1" applyAlignment="1">
      <alignment vertical="center"/>
    </xf>
    <xf numFmtId="43" fontId="22" fillId="2" borderId="121" xfId="1" quotePrefix="1" applyFont="1" applyFill="1" applyBorder="1" applyAlignment="1">
      <alignment vertical="top"/>
    </xf>
    <xf numFmtId="43" fontId="22" fillId="0" borderId="30" xfId="1" applyFont="1" applyFill="1" applyBorder="1" applyAlignment="1">
      <alignment horizontal="right" vertical="center"/>
    </xf>
    <xf numFmtId="3" fontId="23" fillId="2" borderId="123" xfId="0" quotePrefix="1" applyNumberFormat="1" applyFont="1" applyFill="1" applyBorder="1" applyAlignment="1">
      <alignment vertical="top"/>
    </xf>
    <xf numFmtId="0" fontId="22" fillId="0" borderId="35" xfId="0" applyFont="1" applyBorder="1" applyAlignment="1">
      <alignment horizontal="left" vertical="top"/>
    </xf>
    <xf numFmtId="0" fontId="30" fillId="0" borderId="113" xfId="0" quotePrefix="1" applyFont="1" applyBorder="1" applyAlignment="1">
      <alignment horizontal="center" vertical="top"/>
    </xf>
    <xf numFmtId="43" fontId="22" fillId="2" borderId="113" xfId="1" quotePrefix="1" applyFont="1" applyFill="1" applyBorder="1" applyAlignment="1">
      <alignment vertical="top"/>
    </xf>
    <xf numFmtId="3" fontId="23" fillId="2" borderId="136" xfId="0" quotePrefix="1" applyNumberFormat="1" applyFont="1" applyFill="1" applyBorder="1" applyAlignment="1">
      <alignment vertical="top"/>
    </xf>
    <xf numFmtId="0" fontId="20" fillId="4" borderId="59" xfId="0" applyFont="1" applyFill="1" applyBorder="1" applyAlignment="1">
      <alignment vertical="center"/>
    </xf>
    <xf numFmtId="3" fontId="5" fillId="4" borderId="32" xfId="2" applyNumberFormat="1" applyFont="1" applyFill="1" applyBorder="1" applyAlignment="1"/>
    <xf numFmtId="3" fontId="5" fillId="4" borderId="29" xfId="2" applyNumberFormat="1" applyFont="1" applyFill="1" applyBorder="1" applyAlignment="1"/>
    <xf numFmtId="43" fontId="5" fillId="4" borderId="59" xfId="1" applyFont="1" applyFill="1" applyBorder="1" applyAlignment="1"/>
    <xf numFmtId="3" fontId="5" fillId="4" borderId="30" xfId="2" applyNumberFormat="1" applyFont="1" applyFill="1" applyBorder="1" applyAlignment="1"/>
    <xf numFmtId="165" fontId="5" fillId="4" borderId="30" xfId="2" applyNumberFormat="1" applyFont="1" applyFill="1" applyBorder="1" applyAlignment="1"/>
    <xf numFmtId="3" fontId="34" fillId="4" borderId="30" xfId="2" applyNumberFormat="1" applyFont="1" applyFill="1" applyBorder="1" applyAlignment="1"/>
    <xf numFmtId="43" fontId="22" fillId="5" borderId="81" xfId="1" applyFont="1" applyFill="1" applyBorder="1" applyAlignment="1">
      <alignment vertical="top"/>
    </xf>
    <xf numFmtId="3" fontId="22" fillId="5" borderId="83" xfId="2" applyNumberFormat="1" applyFont="1" applyFill="1" applyBorder="1" applyAlignment="1">
      <alignment vertical="top"/>
    </xf>
    <xf numFmtId="3" fontId="29" fillId="5" borderId="65" xfId="2" applyNumberFormat="1" applyFont="1" applyFill="1" applyBorder="1" applyAlignment="1">
      <alignment vertical="top"/>
    </xf>
    <xf numFmtId="43" fontId="7" fillId="5" borderId="67" xfId="1" applyFont="1" applyFill="1" applyBorder="1" applyAlignment="1">
      <alignment vertical="top"/>
    </xf>
    <xf numFmtId="43" fontId="29" fillId="5" borderId="65" xfId="1" applyFont="1" applyFill="1" applyBorder="1" applyAlignment="1">
      <alignment vertical="top"/>
    </xf>
    <xf numFmtId="165" fontId="7" fillId="5" borderId="83" xfId="2" applyNumberFormat="1" applyFont="1" applyFill="1" applyBorder="1" applyAlignment="1">
      <alignment vertical="top"/>
    </xf>
    <xf numFmtId="0" fontId="7" fillId="5" borderId="10" xfId="2" applyFont="1" applyFill="1" applyBorder="1" applyAlignment="1">
      <alignment vertical="top"/>
    </xf>
    <xf numFmtId="3" fontId="25" fillId="5" borderId="125" xfId="2" applyNumberFormat="1" applyFont="1" applyFill="1" applyBorder="1" applyAlignment="1">
      <alignment vertical="top"/>
    </xf>
    <xf numFmtId="3" fontId="25" fillId="5" borderId="99" xfId="2" applyNumberFormat="1" applyFont="1" applyFill="1" applyBorder="1" applyAlignment="1">
      <alignment vertical="top"/>
    </xf>
    <xf numFmtId="43" fontId="25" fillId="5" borderId="103" xfId="1" applyFont="1" applyFill="1" applyBorder="1" applyAlignment="1">
      <alignment vertical="top"/>
    </xf>
    <xf numFmtId="3" fontId="25" fillId="5" borderId="102" xfId="2" applyNumberFormat="1" applyFont="1" applyFill="1" applyBorder="1" applyAlignment="1">
      <alignment vertical="top"/>
    </xf>
    <xf numFmtId="0" fontId="7" fillId="5" borderId="15" xfId="2" applyFont="1" applyFill="1" applyBorder="1" applyAlignment="1">
      <alignment vertical="top"/>
    </xf>
    <xf numFmtId="3" fontId="25" fillId="5" borderId="75" xfId="2" applyNumberFormat="1" applyFont="1" applyFill="1" applyBorder="1" applyAlignment="1">
      <alignment vertical="top"/>
    </xf>
    <xf numFmtId="3" fontId="25" fillId="5" borderId="73" xfId="2" applyNumberFormat="1" applyFont="1" applyFill="1" applyBorder="1" applyAlignment="1">
      <alignment vertical="top"/>
    </xf>
    <xf numFmtId="43" fontId="25" fillId="5" borderId="72" xfId="1" applyFont="1" applyFill="1" applyBorder="1" applyAlignment="1">
      <alignment vertical="top"/>
    </xf>
    <xf numFmtId="3" fontId="25" fillId="5" borderId="71" xfId="2" applyNumberFormat="1" applyFont="1" applyFill="1" applyBorder="1" applyAlignment="1">
      <alignment vertical="top"/>
    </xf>
    <xf numFmtId="3" fontId="29" fillId="5" borderId="71" xfId="2" applyNumberFormat="1" applyFont="1" applyFill="1" applyBorder="1" applyAlignment="1">
      <alignment vertical="top"/>
    </xf>
    <xf numFmtId="0" fontId="34" fillId="7" borderId="80" xfId="2" applyFont="1" applyFill="1" applyBorder="1" applyAlignment="1">
      <alignment horizontal="center" vertical="center" wrapText="1"/>
    </xf>
    <xf numFmtId="3" fontId="25" fillId="7" borderId="135" xfId="2" applyNumberFormat="1" applyFont="1" applyFill="1" applyBorder="1" applyAlignment="1">
      <alignment horizontal="right" vertical="center"/>
    </xf>
    <xf numFmtId="3" fontId="25" fillId="7" borderId="112" xfId="2" applyNumberFormat="1" applyFont="1" applyFill="1" applyBorder="1" applyAlignment="1">
      <alignment horizontal="right" vertical="center"/>
    </xf>
    <xf numFmtId="0" fontId="5" fillId="4" borderId="79" xfId="2" applyFont="1" applyFill="1" applyBorder="1" applyAlignment="1">
      <alignment horizontal="left" vertical="center"/>
    </xf>
    <xf numFmtId="43" fontId="5" fillId="4" borderId="93" xfId="1" applyFont="1" applyFill="1" applyBorder="1" applyAlignment="1"/>
    <xf numFmtId="3" fontId="5" fillId="4" borderId="142" xfId="2" applyNumberFormat="1" applyFont="1" applyFill="1" applyBorder="1" applyAlignment="1"/>
    <xf numFmtId="3" fontId="34" fillId="4" borderId="78" xfId="2" applyNumberFormat="1" applyFont="1" applyFill="1" applyBorder="1" applyAlignment="1"/>
    <xf numFmtId="0" fontId="6" fillId="0" borderId="83" xfId="2" applyFont="1" applyFill="1" applyBorder="1" applyAlignment="1">
      <alignment vertical="top"/>
    </xf>
    <xf numFmtId="43" fontId="22" fillId="2" borderId="89" xfId="1" applyFont="1" applyFill="1" applyBorder="1" applyAlignment="1"/>
    <xf numFmtId="3" fontId="22" fillId="2" borderId="143" xfId="2" applyNumberFormat="1" applyFont="1" applyFill="1" applyBorder="1" applyAlignment="1"/>
    <xf numFmtId="0" fontId="7" fillId="0" borderId="99" xfId="2" applyFont="1" applyFill="1" applyBorder="1" applyAlignment="1">
      <alignment vertical="top"/>
    </xf>
    <xf numFmtId="3" fontId="7" fillId="0" borderId="110" xfId="2" applyNumberFormat="1" applyFont="1" applyFill="1" applyBorder="1" applyAlignment="1">
      <alignment horizontal="right" vertical="center"/>
    </xf>
    <xf numFmtId="0" fontId="5" fillId="7" borderId="36" xfId="2" applyFont="1" applyFill="1" applyBorder="1" applyAlignment="1">
      <alignment horizontal="left" vertical="center" wrapText="1"/>
    </xf>
    <xf numFmtId="0" fontId="7" fillId="0" borderId="73" xfId="2" applyFont="1" applyFill="1" applyBorder="1" applyAlignment="1">
      <alignment vertical="top"/>
    </xf>
    <xf numFmtId="3" fontId="7" fillId="0" borderId="111" xfId="2" applyNumberFormat="1" applyFont="1" applyFill="1" applyBorder="1" applyAlignment="1">
      <alignment horizontal="right" vertical="center"/>
    </xf>
    <xf numFmtId="0" fontId="34" fillId="0" borderId="0" xfId="2" applyFont="1" applyFill="1" applyBorder="1" applyAlignment="1">
      <alignment horizontal="center" vertical="center"/>
    </xf>
    <xf numFmtId="0" fontId="33" fillId="0" borderId="0" xfId="2" applyFont="1" applyFill="1" applyBorder="1" applyAlignment="1">
      <alignment vertical="top"/>
    </xf>
    <xf numFmtId="3" fontId="29" fillId="0" borderId="0" xfId="2" applyNumberFormat="1" applyFont="1" applyFill="1" applyBorder="1" applyAlignment="1">
      <alignment vertical="top"/>
    </xf>
    <xf numFmtId="43" fontId="29" fillId="0" borderId="0" xfId="1" applyFont="1" applyFill="1" applyBorder="1" applyAlignment="1">
      <alignment vertical="top"/>
    </xf>
    <xf numFmtId="3" fontId="33" fillId="0" borderId="0" xfId="2" applyNumberFormat="1" applyFont="1" applyFill="1" applyBorder="1" applyAlignment="1">
      <alignment vertical="top"/>
    </xf>
    <xf numFmtId="165" fontId="33" fillId="0" borderId="0" xfId="2" applyNumberFormat="1" applyFont="1" applyFill="1" applyBorder="1" applyAlignment="1">
      <alignment vertical="top"/>
    </xf>
    <xf numFmtId="43" fontId="33" fillId="0" borderId="0" xfId="1" applyFont="1" applyFill="1" applyBorder="1" applyAlignment="1">
      <alignment vertical="top"/>
    </xf>
    <xf numFmtId="0" fontId="33" fillId="0" borderId="0" xfId="2" applyFont="1" applyFill="1" applyBorder="1" applyAlignment="1">
      <alignment horizontal="center" vertical="center" wrapText="1"/>
    </xf>
    <xf numFmtId="0" fontId="20" fillId="0" borderId="0" xfId="0" quotePrefix="1" applyFont="1" applyAlignment="1">
      <alignment vertical="top"/>
    </xf>
    <xf numFmtId="165" fontId="29" fillId="0" borderId="0" xfId="0" applyNumberFormat="1" applyFont="1" applyAlignment="1">
      <alignment vertical="top"/>
    </xf>
    <xf numFmtId="41" fontId="29" fillId="0" borderId="0" xfId="0" applyNumberFormat="1" applyFont="1" applyAlignment="1">
      <alignment vertical="top"/>
    </xf>
    <xf numFmtId="165" fontId="29" fillId="0" borderId="0" xfId="0" applyNumberFormat="1" applyFont="1" applyBorder="1" applyAlignment="1">
      <alignment vertical="top"/>
    </xf>
    <xf numFmtId="0" fontId="29" fillId="0" borderId="13" xfId="0" applyFont="1" applyBorder="1" applyAlignment="1">
      <alignment horizontal="center" vertical="top"/>
    </xf>
    <xf numFmtId="0" fontId="29" fillId="0" borderId="15" xfId="0" applyFont="1" applyBorder="1" applyAlignment="1">
      <alignment horizontal="center" vertical="top"/>
    </xf>
    <xf numFmtId="0" fontId="29" fillId="0" borderId="33" xfId="0" quotePrefix="1" applyFont="1" applyBorder="1" applyAlignment="1">
      <alignment horizontal="center" vertical="top"/>
    </xf>
    <xf numFmtId="0" fontId="29" fillId="0" borderId="13" xfId="0" quotePrefix="1" applyFont="1" applyBorder="1" applyAlignment="1">
      <alignment horizontal="center" vertical="top"/>
    </xf>
    <xf numFmtId="0" fontId="29" fillId="0" borderId="15" xfId="0" quotePrefix="1" applyFont="1" applyBorder="1" applyAlignment="1">
      <alignment horizontal="center" vertical="top"/>
    </xf>
    <xf numFmtId="0" fontId="29" fillId="2" borderId="15" xfId="0" quotePrefix="1" applyFont="1" applyFill="1" applyBorder="1" applyAlignment="1">
      <alignment horizontal="center" vertical="top"/>
    </xf>
    <xf numFmtId="0" fontId="29" fillId="2" borderId="33" xfId="0" quotePrefix="1" applyFont="1" applyFill="1" applyBorder="1" applyAlignment="1">
      <alignment horizontal="center" vertical="top"/>
    </xf>
    <xf numFmtId="0" fontId="29" fillId="2" borderId="13" xfId="0" quotePrefix="1" applyFont="1" applyFill="1" applyBorder="1" applyAlignment="1">
      <alignment horizontal="center" vertical="top"/>
    </xf>
    <xf numFmtId="0" fontId="29" fillId="0" borderId="9" xfId="0" applyFont="1" applyBorder="1" applyAlignment="1">
      <alignment horizontal="center" vertical="top"/>
    </xf>
    <xf numFmtId="0" fontId="29" fillId="2" borderId="8" xfId="0" quotePrefix="1" applyFont="1" applyFill="1" applyBorder="1" applyAlignment="1">
      <alignment horizontal="center" vertical="top"/>
    </xf>
    <xf numFmtId="3" fontId="22" fillId="2" borderId="32" xfId="0" quotePrefix="1" applyNumberFormat="1" applyFont="1" applyFill="1" applyBorder="1" applyAlignment="1">
      <alignment vertical="top"/>
    </xf>
    <xf numFmtId="3" fontId="23" fillId="2" borderId="15" xfId="0" quotePrefix="1" applyNumberFormat="1" applyFont="1" applyFill="1" applyBorder="1" applyAlignment="1">
      <alignment vertical="top"/>
    </xf>
    <xf numFmtId="3" fontId="5" fillId="4" borderId="42" xfId="2" applyNumberFormat="1" applyFont="1" applyFill="1" applyBorder="1" applyAlignment="1">
      <alignment horizontal="right" vertical="center"/>
    </xf>
    <xf numFmtId="3" fontId="5" fillId="4" borderId="112" xfId="2" applyNumberFormat="1" applyFont="1" applyFill="1" applyBorder="1" applyAlignment="1">
      <alignment horizontal="right" vertical="center"/>
    </xf>
    <xf numFmtId="3" fontId="5" fillId="4" borderId="63" xfId="2" applyNumberFormat="1" applyFont="1" applyFill="1" applyBorder="1" applyAlignment="1">
      <alignment horizontal="right" vertical="center"/>
    </xf>
    <xf numFmtId="3" fontId="5" fillId="4" borderId="84" xfId="2" applyNumberFormat="1" applyFont="1" applyFill="1" applyBorder="1" applyAlignment="1">
      <alignment horizontal="right" vertical="center"/>
    </xf>
    <xf numFmtId="3" fontId="5" fillId="4" borderId="21" xfId="2" applyNumberFormat="1" applyFont="1" applyFill="1" applyBorder="1" applyAlignment="1">
      <alignment horizontal="right" vertical="center"/>
    </xf>
    <xf numFmtId="3" fontId="34" fillId="4" borderId="63" xfId="2" applyNumberFormat="1" applyFont="1" applyFill="1" applyBorder="1" applyAlignment="1">
      <alignment horizontal="right" vertical="center"/>
    </xf>
    <xf numFmtId="3" fontId="6" fillId="5" borderId="125" xfId="2" applyNumberFormat="1" applyFont="1" applyFill="1" applyBorder="1" applyAlignment="1">
      <alignment horizontal="right" vertical="center"/>
    </xf>
    <xf numFmtId="3" fontId="6" fillId="5" borderId="110" xfId="2" applyNumberFormat="1" applyFont="1" applyFill="1" applyBorder="1" applyAlignment="1">
      <alignment horizontal="right" vertical="center"/>
    </xf>
    <xf numFmtId="3" fontId="6" fillId="5" borderId="67" xfId="2" applyNumberFormat="1" applyFont="1" applyFill="1" applyBorder="1" applyAlignment="1">
      <alignment horizontal="right" vertical="center"/>
    </xf>
    <xf numFmtId="3" fontId="6" fillId="5" borderId="74" xfId="2" applyNumberFormat="1" applyFont="1" applyFill="1" applyBorder="1" applyAlignment="1">
      <alignment horizontal="right" vertical="center"/>
    </xf>
    <xf numFmtId="3" fontId="41" fillId="5" borderId="67" xfId="2" applyNumberFormat="1" applyFont="1" applyFill="1" applyBorder="1" applyAlignment="1">
      <alignment horizontal="right" vertical="center"/>
    </xf>
    <xf numFmtId="3" fontId="7" fillId="5" borderId="74" xfId="2" applyNumberFormat="1" applyFont="1" applyFill="1" applyBorder="1" applyAlignment="1">
      <alignment horizontal="right" vertical="center"/>
    </xf>
    <xf numFmtId="3" fontId="7" fillId="5" borderId="110" xfId="2" applyNumberFormat="1" applyFont="1" applyFill="1" applyBorder="1" applyAlignment="1">
      <alignment horizontal="right" vertical="center"/>
    </xf>
    <xf numFmtId="3" fontId="7" fillId="5" borderId="67" xfId="2" applyNumberFormat="1" applyFont="1" applyFill="1" applyBorder="1" applyAlignment="1">
      <alignment horizontal="right" vertical="center"/>
    </xf>
    <xf numFmtId="3" fontId="33" fillId="5" borderId="67" xfId="2" applyNumberFormat="1" applyFont="1" applyFill="1" applyBorder="1" applyAlignment="1">
      <alignment horizontal="right" vertical="center"/>
    </xf>
    <xf numFmtId="3" fontId="6" fillId="5" borderId="50" xfId="2" applyNumberFormat="1" applyFont="1" applyFill="1" applyBorder="1" applyAlignment="1">
      <alignment horizontal="right" vertical="center"/>
    </xf>
    <xf numFmtId="3" fontId="6" fillId="5" borderId="12" xfId="2" applyNumberFormat="1" applyFont="1" applyFill="1" applyBorder="1" applyAlignment="1">
      <alignment horizontal="right" vertical="center"/>
    </xf>
    <xf numFmtId="165" fontId="6" fillId="5" borderId="102" xfId="2" applyNumberFormat="1" applyFont="1" applyFill="1" applyBorder="1" applyAlignment="1">
      <alignment horizontal="right" vertical="center"/>
    </xf>
    <xf numFmtId="3" fontId="41" fillId="5" borderId="12" xfId="2" applyNumberFormat="1" applyFont="1" applyFill="1" applyBorder="1" applyAlignment="1">
      <alignment horizontal="right" vertical="center"/>
    </xf>
    <xf numFmtId="0" fontId="7" fillId="5" borderId="10" xfId="2" applyFont="1" applyFill="1" applyBorder="1" applyAlignment="1">
      <alignment vertical="top" wrapText="1"/>
    </xf>
    <xf numFmtId="3" fontId="16" fillId="5" borderId="74" xfId="3" applyNumberFormat="1" applyFont="1" applyFill="1" applyBorder="1" applyAlignment="1">
      <alignment vertical="center"/>
    </xf>
    <xf numFmtId="3" fontId="16" fillId="5" borderId="67" xfId="3" applyNumberFormat="1" applyFont="1" applyFill="1" applyBorder="1" applyAlignment="1">
      <alignment vertical="center"/>
    </xf>
    <xf numFmtId="3" fontId="16" fillId="5" borderId="66" xfId="3" applyNumberFormat="1" applyFont="1" applyFill="1" applyBorder="1" applyAlignment="1">
      <alignment vertical="center"/>
    </xf>
    <xf numFmtId="165" fontId="16" fillId="5" borderId="67" xfId="3" applyNumberFormat="1" applyFont="1" applyFill="1" applyBorder="1" applyAlignment="1">
      <alignment vertical="center"/>
    </xf>
    <xf numFmtId="3" fontId="35" fillId="5" borderId="67" xfId="3" applyNumberFormat="1" applyFont="1" applyFill="1" applyBorder="1" applyAlignment="1">
      <alignment vertical="center"/>
    </xf>
    <xf numFmtId="3" fontId="5" fillId="4" borderId="50" xfId="2" applyNumberFormat="1" applyFont="1" applyFill="1" applyBorder="1" applyAlignment="1">
      <alignment horizontal="right" vertical="center"/>
    </xf>
    <xf numFmtId="3" fontId="5" fillId="4" borderId="67" xfId="2" applyNumberFormat="1" applyFont="1" applyFill="1" applyBorder="1" applyAlignment="1">
      <alignment horizontal="right" vertical="center"/>
    </xf>
    <xf numFmtId="3" fontId="5" fillId="4" borderId="103" xfId="2" applyNumberFormat="1" applyFont="1" applyFill="1" applyBorder="1" applyAlignment="1">
      <alignment horizontal="right" vertical="center"/>
    </xf>
    <xf numFmtId="165" fontId="5" fillId="4" borderId="67" xfId="2" applyNumberFormat="1" applyFont="1" applyFill="1" applyBorder="1" applyAlignment="1">
      <alignment horizontal="right" vertical="center"/>
    </xf>
    <xf numFmtId="3" fontId="34" fillId="4" borderId="67" xfId="2" applyNumberFormat="1" applyFont="1" applyFill="1" applyBorder="1" applyAlignment="1">
      <alignment horizontal="right" vertical="center"/>
    </xf>
    <xf numFmtId="3" fontId="43" fillId="5" borderId="125" xfId="3" applyNumberFormat="1" applyFont="1" applyFill="1" applyBorder="1" applyAlignment="1">
      <alignment vertical="center"/>
    </xf>
    <xf numFmtId="3" fontId="43" fillId="5" borderId="67" xfId="3" applyNumberFormat="1" applyFont="1" applyFill="1" applyBorder="1" applyAlignment="1">
      <alignment vertical="center"/>
    </xf>
    <xf numFmtId="3" fontId="43" fillId="5" borderId="66" xfId="3" applyNumberFormat="1" applyFont="1" applyFill="1" applyBorder="1" applyAlignment="1">
      <alignment vertical="center"/>
    </xf>
    <xf numFmtId="3" fontId="43" fillId="5" borderId="74" xfId="3" applyNumberFormat="1" applyFont="1" applyFill="1" applyBorder="1" applyAlignment="1">
      <alignment vertical="center"/>
    </xf>
    <xf numFmtId="165" fontId="43" fillId="5" borderId="67" xfId="3" applyNumberFormat="1" applyFont="1" applyFill="1" applyBorder="1" applyAlignment="1">
      <alignment vertical="center"/>
    </xf>
    <xf numFmtId="3" fontId="54" fillId="5" borderId="67" xfId="3" applyNumberFormat="1" applyFont="1" applyFill="1" applyBorder="1" applyAlignment="1">
      <alignment vertical="center"/>
    </xf>
    <xf numFmtId="3" fontId="16" fillId="5" borderId="75" xfId="3" applyNumberFormat="1" applyFont="1" applyFill="1" applyBorder="1" applyAlignment="1">
      <alignment vertical="center"/>
    </xf>
    <xf numFmtId="3" fontId="16" fillId="5" borderId="73" xfId="3" applyNumberFormat="1" applyFont="1" applyFill="1" applyBorder="1" applyAlignment="1">
      <alignment vertical="center"/>
    </xf>
    <xf numFmtId="3" fontId="16" fillId="5" borderId="72" xfId="3" applyNumberFormat="1" applyFont="1" applyFill="1" applyBorder="1" applyAlignment="1">
      <alignment vertical="center"/>
    </xf>
    <xf numFmtId="165" fontId="16" fillId="5" borderId="73" xfId="3" applyNumberFormat="1" applyFont="1" applyFill="1" applyBorder="1" applyAlignment="1">
      <alignment vertical="center"/>
    </xf>
    <xf numFmtId="3" fontId="35" fillId="5" borderId="73" xfId="3" applyNumberFormat="1" applyFont="1" applyFill="1" applyBorder="1" applyAlignment="1">
      <alignment vertical="center"/>
    </xf>
    <xf numFmtId="0" fontId="33" fillId="7" borderId="54" xfId="0" applyFont="1" applyFill="1" applyBorder="1" applyAlignment="1">
      <alignment vertical="top"/>
    </xf>
    <xf numFmtId="3" fontId="5" fillId="4" borderId="11" xfId="2" applyNumberFormat="1" applyFont="1" applyFill="1" applyBorder="1" applyAlignment="1"/>
    <xf numFmtId="165" fontId="5" fillId="4" borderId="10" xfId="2" applyNumberFormat="1" applyFont="1" applyFill="1" applyBorder="1" applyAlignment="1"/>
    <xf numFmtId="3" fontId="34" fillId="4" borderId="10" xfId="2" applyNumberFormat="1" applyFont="1" applyFill="1" applyBorder="1" applyAlignment="1"/>
    <xf numFmtId="165" fontId="22" fillId="2" borderId="102" xfId="2" applyNumberFormat="1" applyFont="1" applyFill="1" applyBorder="1" applyAlignment="1">
      <alignment horizontal="right" vertical="center"/>
    </xf>
    <xf numFmtId="3" fontId="30" fillId="2" borderId="65" xfId="2" applyNumberFormat="1" applyFont="1" applyFill="1" applyBorder="1" applyAlignment="1"/>
    <xf numFmtId="3" fontId="33" fillId="0" borderId="80" xfId="2" applyNumberFormat="1" applyFont="1" applyFill="1" applyBorder="1" applyAlignment="1">
      <alignment horizontal="right" vertical="center"/>
    </xf>
    <xf numFmtId="165" fontId="5" fillId="4" borderId="102" xfId="2" applyNumberFormat="1" applyFont="1" applyFill="1" applyBorder="1" applyAlignment="1"/>
    <xf numFmtId="165" fontId="43" fillId="0" borderId="102" xfId="3" applyNumberFormat="1" applyFont="1" applyFill="1" applyBorder="1" applyAlignment="1">
      <alignment vertical="center"/>
    </xf>
    <xf numFmtId="3" fontId="54" fillId="0" borderId="65" xfId="3" applyNumberFormat="1" applyFont="1" applyFill="1" applyBorder="1" applyAlignment="1">
      <alignment vertical="center"/>
    </xf>
    <xf numFmtId="0" fontId="7" fillId="2" borderId="10" xfId="2" applyFont="1" applyFill="1" applyBorder="1" applyAlignment="1">
      <alignment vertical="center" wrapText="1"/>
    </xf>
    <xf numFmtId="3" fontId="7" fillId="0" borderId="104" xfId="0" applyNumberFormat="1" applyFont="1" applyFill="1" applyBorder="1" applyAlignment="1">
      <alignment vertical="center"/>
    </xf>
    <xf numFmtId="3" fontId="29" fillId="0" borderId="0" xfId="0" applyNumberFormat="1" applyFont="1" applyFill="1" applyAlignment="1">
      <alignment vertical="center"/>
    </xf>
    <xf numFmtId="0" fontId="33" fillId="0" borderId="0" xfId="0" applyFont="1" applyAlignment="1">
      <alignment vertical="center"/>
    </xf>
    <xf numFmtId="3" fontId="5" fillId="4" borderId="12" xfId="2" applyNumberFormat="1" applyFont="1" applyFill="1" applyBorder="1" applyAlignment="1"/>
    <xf numFmtId="3" fontId="22" fillId="2" borderId="102" xfId="2" applyNumberFormat="1" applyFont="1" applyFill="1" applyBorder="1" applyAlignment="1">
      <alignment vertical="top" wrapText="1"/>
    </xf>
    <xf numFmtId="3" fontId="7" fillId="0" borderId="99" xfId="2" applyNumberFormat="1" applyFont="1" applyFill="1" applyBorder="1" applyAlignment="1">
      <alignment horizontal="right" vertical="center"/>
    </xf>
    <xf numFmtId="3" fontId="7" fillId="0" borderId="103" xfId="2" applyNumberFormat="1" applyFont="1" applyFill="1" applyBorder="1" applyAlignment="1">
      <alignment horizontal="right" vertical="center"/>
    </xf>
    <xf numFmtId="0" fontId="7" fillId="2" borderId="30" xfId="2" applyFont="1" applyFill="1" applyBorder="1" applyAlignment="1">
      <alignment vertical="top" wrapText="1"/>
    </xf>
    <xf numFmtId="3" fontId="16" fillId="0" borderId="28" xfId="3" applyNumberFormat="1" applyFont="1" applyFill="1" applyBorder="1" applyAlignment="1">
      <alignment vertical="center"/>
    </xf>
    <xf numFmtId="43" fontId="7" fillId="0" borderId="76" xfId="1" applyFont="1" applyFill="1" applyBorder="1" applyAlignment="1">
      <alignment horizontal="right" vertical="center"/>
    </xf>
    <xf numFmtId="3" fontId="7" fillId="0" borderId="30" xfId="2" applyNumberFormat="1" applyFont="1" applyFill="1" applyBorder="1" applyAlignment="1">
      <alignment horizontal="right" vertical="center"/>
    </xf>
    <xf numFmtId="3" fontId="7" fillId="0" borderId="79" xfId="2" applyNumberFormat="1" applyFont="1" applyFill="1" applyBorder="1" applyAlignment="1">
      <alignment horizontal="right" vertical="center"/>
    </xf>
    <xf numFmtId="3" fontId="7" fillId="0" borderId="77" xfId="2" applyNumberFormat="1" applyFont="1" applyFill="1" applyBorder="1" applyAlignment="1">
      <alignment horizontal="right" vertical="center"/>
    </xf>
    <xf numFmtId="3" fontId="7" fillId="0" borderId="126" xfId="0" applyNumberFormat="1" applyFont="1" applyFill="1" applyBorder="1" applyAlignment="1">
      <alignment vertical="top"/>
    </xf>
    <xf numFmtId="165" fontId="7" fillId="0" borderId="76" xfId="2" applyNumberFormat="1" applyFont="1" applyFill="1" applyBorder="1" applyAlignment="1">
      <alignment horizontal="right" vertical="center"/>
    </xf>
    <xf numFmtId="3" fontId="33" fillId="0" borderId="30" xfId="2" applyNumberFormat="1" applyFont="1" applyFill="1" applyBorder="1" applyAlignment="1">
      <alignment horizontal="right" vertical="center"/>
    </xf>
    <xf numFmtId="3" fontId="7" fillId="0" borderId="73" xfId="2" applyNumberFormat="1" applyFont="1" applyFill="1" applyBorder="1" applyAlignment="1">
      <alignment horizontal="right" vertical="center"/>
    </xf>
    <xf numFmtId="0" fontId="20" fillId="4" borderId="81" xfId="2" applyFont="1" applyFill="1" applyBorder="1" applyAlignment="1">
      <alignment horizontal="left" vertical="center"/>
    </xf>
    <xf numFmtId="3" fontId="5" fillId="4" borderId="82" xfId="0" applyNumberFormat="1" applyFont="1" applyFill="1" applyBorder="1" applyAlignment="1">
      <alignment vertical="top"/>
    </xf>
    <xf numFmtId="43" fontId="5" fillId="4" borderId="80" xfId="1" applyFont="1" applyFill="1" applyBorder="1" applyAlignment="1">
      <alignment vertical="top"/>
    </xf>
    <xf numFmtId="3" fontId="5" fillId="4" borderId="6" xfId="0" applyNumberFormat="1" applyFont="1" applyFill="1" applyBorder="1" applyAlignment="1">
      <alignment vertical="top"/>
    </xf>
    <xf numFmtId="3" fontId="5" fillId="4" borderId="86" xfId="0" applyNumberFormat="1" applyFont="1" applyFill="1" applyBorder="1" applyAlignment="1">
      <alignment vertical="top"/>
    </xf>
    <xf numFmtId="3" fontId="5" fillId="4" borderId="89" xfId="0" applyNumberFormat="1" applyFont="1" applyFill="1" applyBorder="1" applyAlignment="1">
      <alignment vertical="top"/>
    </xf>
    <xf numFmtId="165" fontId="5" fillId="4" borderId="10" xfId="0" applyNumberFormat="1" applyFont="1" applyFill="1" applyBorder="1" applyAlignment="1">
      <alignment vertical="top"/>
    </xf>
    <xf numFmtId="3" fontId="5" fillId="4" borderId="80" xfId="0" applyNumberFormat="1" applyFont="1" applyFill="1" applyBorder="1" applyAlignment="1">
      <alignment vertical="top"/>
    </xf>
    <xf numFmtId="3" fontId="34" fillId="4" borderId="10" xfId="0" applyNumberFormat="1" applyFont="1" applyFill="1" applyBorder="1" applyAlignment="1">
      <alignment vertical="top"/>
    </xf>
    <xf numFmtId="3" fontId="5" fillId="0" borderId="9" xfId="0" applyNumberFormat="1" applyFont="1" applyFill="1" applyBorder="1" applyAlignment="1">
      <alignment vertical="top"/>
    </xf>
    <xf numFmtId="43" fontId="5" fillId="0" borderId="65" xfId="1" applyFont="1" applyFill="1" applyBorder="1" applyAlignment="1">
      <alignment vertical="top"/>
    </xf>
    <xf numFmtId="3" fontId="5" fillId="0" borderId="65" xfId="0" applyNumberFormat="1" applyFont="1" applyFill="1" applyBorder="1" applyAlignment="1">
      <alignment vertical="top"/>
    </xf>
    <xf numFmtId="3" fontId="5" fillId="0" borderId="68" xfId="0" applyNumberFormat="1" applyFont="1" applyFill="1" applyBorder="1" applyAlignment="1">
      <alignment vertical="top"/>
    </xf>
    <xf numFmtId="3" fontId="5" fillId="0" borderId="102" xfId="0" applyNumberFormat="1" applyFont="1" applyFill="1" applyBorder="1" applyAlignment="1">
      <alignment vertical="top"/>
    </xf>
    <xf numFmtId="165" fontId="5" fillId="0" borderId="102" xfId="0" applyNumberFormat="1" applyFont="1" applyFill="1" applyBorder="1" applyAlignment="1">
      <alignment vertical="top"/>
    </xf>
    <xf numFmtId="3" fontId="34" fillId="0" borderId="65" xfId="0" applyNumberFormat="1" applyFont="1" applyFill="1" applyBorder="1" applyAlignment="1">
      <alignment vertical="top"/>
    </xf>
    <xf numFmtId="0" fontId="7" fillId="0" borderId="30" xfId="0" applyFont="1" applyFill="1" applyBorder="1" applyAlignment="1">
      <alignment vertical="center"/>
    </xf>
    <xf numFmtId="43" fontId="7" fillId="0" borderId="76" xfId="1" applyFont="1" applyFill="1" applyBorder="1" applyAlignment="1">
      <alignment vertical="top"/>
    </xf>
    <xf numFmtId="3" fontId="7" fillId="0" borderId="76" xfId="0" applyNumberFormat="1" applyFont="1" applyFill="1" applyBorder="1" applyAlignment="1">
      <alignment vertical="top"/>
    </xf>
    <xf numFmtId="3" fontId="7" fillId="0" borderId="30" xfId="0" applyNumberFormat="1" applyFont="1" applyFill="1" applyBorder="1" applyAlignment="1">
      <alignment vertical="top"/>
    </xf>
    <xf numFmtId="3" fontId="7" fillId="0" borderId="97" xfId="0" applyNumberFormat="1" applyFont="1" applyFill="1" applyBorder="1" applyAlignment="1">
      <alignment vertical="top"/>
    </xf>
    <xf numFmtId="3" fontId="7" fillId="0" borderId="78" xfId="0" applyNumberFormat="1" applyFont="1" applyFill="1" applyBorder="1" applyAlignment="1">
      <alignment vertical="top"/>
    </xf>
    <xf numFmtId="165" fontId="7" fillId="0" borderId="76" xfId="0" applyNumberFormat="1" applyFont="1" applyFill="1" applyBorder="1" applyAlignment="1">
      <alignment vertical="top"/>
    </xf>
    <xf numFmtId="3" fontId="33" fillId="0" borderId="76" xfId="0" applyNumberFormat="1" applyFont="1" applyFill="1" applyBorder="1" applyAlignment="1">
      <alignment vertical="top"/>
    </xf>
    <xf numFmtId="3" fontId="5" fillId="4" borderId="50" xfId="2" applyNumberFormat="1" applyFont="1" applyFill="1" applyBorder="1" applyAlignment="1"/>
    <xf numFmtId="43" fontId="5" fillId="4" borderId="6" xfId="1" applyFont="1" applyFill="1" applyBorder="1" applyAlignment="1"/>
    <xf numFmtId="3" fontId="5" fillId="4" borderId="6" xfId="2" applyNumberFormat="1" applyFont="1" applyFill="1" applyBorder="1" applyAlignment="1"/>
    <xf numFmtId="3" fontId="5" fillId="4" borderId="98" xfId="2" applyNumberFormat="1" applyFont="1" applyFill="1" applyBorder="1" applyAlignment="1"/>
    <xf numFmtId="3" fontId="34" fillId="4" borderId="6" xfId="2" applyNumberFormat="1" applyFont="1" applyFill="1" applyBorder="1" applyAlignment="1"/>
    <xf numFmtId="3" fontId="43" fillId="0" borderId="125" xfId="3" applyNumberFormat="1" applyFont="1" applyFill="1" applyBorder="1" applyAlignment="1">
      <alignment vertical="center"/>
    </xf>
    <xf numFmtId="3" fontId="7" fillId="0" borderId="90" xfId="2" applyNumberFormat="1" applyFont="1" applyFill="1" applyBorder="1" applyAlignment="1">
      <alignment horizontal="right" vertical="center"/>
    </xf>
    <xf numFmtId="0" fontId="20" fillId="4" borderId="80" xfId="2" applyFont="1" applyFill="1" applyBorder="1" applyAlignment="1">
      <alignment horizontal="left" vertical="center"/>
    </xf>
    <xf numFmtId="43" fontId="34" fillId="4" borderId="9" xfId="1" applyFont="1" applyFill="1" applyBorder="1" applyAlignment="1"/>
    <xf numFmtId="43" fontId="34" fillId="4" borderId="80" xfId="1" applyFont="1" applyFill="1" applyBorder="1" applyAlignment="1"/>
    <xf numFmtId="3" fontId="34" fillId="4" borderId="50" xfId="2" applyNumberFormat="1" applyFont="1" applyFill="1" applyBorder="1" applyAlignment="1"/>
    <xf numFmtId="43" fontId="34" fillId="4" borderId="6" xfId="1" applyFont="1" applyFill="1" applyBorder="1" applyAlignment="1"/>
    <xf numFmtId="3" fontId="34" fillId="4" borderId="98" xfId="2" applyNumberFormat="1" applyFont="1" applyFill="1" applyBorder="1" applyAlignment="1"/>
    <xf numFmtId="3" fontId="34" fillId="4" borderId="107" xfId="2" applyNumberFormat="1" applyFont="1" applyFill="1" applyBorder="1" applyAlignment="1"/>
    <xf numFmtId="165" fontId="34" fillId="4" borderId="10" xfId="2" applyNumberFormat="1" applyFont="1" applyFill="1" applyBorder="1" applyAlignment="1"/>
    <xf numFmtId="3" fontId="34" fillId="4" borderId="80" xfId="2" applyNumberFormat="1" applyFont="1" applyFill="1" applyBorder="1" applyAlignment="1"/>
    <xf numFmtId="0" fontId="30" fillId="2" borderId="65" xfId="2" applyFont="1" applyFill="1" applyBorder="1" applyAlignment="1">
      <alignment vertical="top"/>
    </xf>
    <xf numFmtId="43" fontId="54" fillId="0" borderId="101" xfId="1" applyFont="1" applyFill="1" applyBorder="1" applyAlignment="1">
      <alignment vertical="center"/>
    </xf>
    <xf numFmtId="43" fontId="54" fillId="0" borderId="65" xfId="1" applyFont="1" applyFill="1" applyBorder="1" applyAlignment="1">
      <alignment vertical="center"/>
    </xf>
    <xf numFmtId="3" fontId="54" fillId="0" borderId="125" xfId="3" applyNumberFormat="1" applyFont="1" applyFill="1" applyBorder="1" applyAlignment="1">
      <alignment vertical="center"/>
    </xf>
    <xf numFmtId="3" fontId="54" fillId="0" borderId="68" xfId="3" applyNumberFormat="1" applyFont="1" applyFill="1" applyBorder="1" applyAlignment="1">
      <alignment vertical="center"/>
    </xf>
    <xf numFmtId="3" fontId="54" fillId="0" borderId="11" xfId="3" applyNumberFormat="1" applyFont="1" applyFill="1" applyBorder="1" applyAlignment="1">
      <alignment vertical="center"/>
    </xf>
    <xf numFmtId="165" fontId="54" fillId="0" borderId="102" xfId="3" applyNumberFormat="1" applyFont="1" applyFill="1" applyBorder="1" applyAlignment="1">
      <alignment vertical="center"/>
    </xf>
    <xf numFmtId="3" fontId="54" fillId="0" borderId="10" xfId="3" applyNumberFormat="1" applyFont="1" applyFill="1" applyBorder="1" applyAlignment="1">
      <alignment vertical="center"/>
    </xf>
    <xf numFmtId="0" fontId="33" fillId="2" borderId="71" xfId="2" applyFont="1" applyFill="1" applyBorder="1" applyAlignment="1">
      <alignment vertical="top" wrapText="1"/>
    </xf>
    <xf numFmtId="43" fontId="35" fillId="0" borderId="70" xfId="1" applyFont="1" applyFill="1" applyBorder="1" applyAlignment="1">
      <alignment vertical="center"/>
    </xf>
    <xf numFmtId="3" fontId="35" fillId="0" borderId="70" xfId="3" applyNumberFormat="1" applyFont="1" applyFill="1" applyBorder="1" applyAlignment="1">
      <alignment vertical="center"/>
    </xf>
    <xf numFmtId="3" fontId="33" fillId="0" borderId="90" xfId="2" applyNumberFormat="1" applyFont="1" applyFill="1" applyBorder="1" applyAlignment="1">
      <alignment horizontal="right" vertical="center"/>
    </xf>
    <xf numFmtId="3" fontId="33" fillId="0" borderId="104" xfId="0" applyNumberFormat="1" applyFont="1" applyFill="1" applyBorder="1" applyAlignment="1">
      <alignment vertical="top"/>
    </xf>
    <xf numFmtId="165" fontId="33" fillId="2" borderId="71" xfId="2" applyNumberFormat="1" applyFont="1" applyFill="1" applyBorder="1" applyAlignment="1">
      <alignment horizontal="right" vertical="center"/>
    </xf>
    <xf numFmtId="3" fontId="33" fillId="2" borderId="71" xfId="2" applyNumberFormat="1" applyFont="1" applyFill="1" applyBorder="1" applyAlignment="1">
      <alignment horizontal="right" vertical="center"/>
    </xf>
    <xf numFmtId="165" fontId="7" fillId="5" borderId="71" xfId="2" applyNumberFormat="1" applyFont="1" applyFill="1" applyBorder="1" applyAlignment="1">
      <alignment horizontal="right" vertical="center"/>
    </xf>
    <xf numFmtId="0" fontId="53" fillId="2" borderId="19" xfId="0" applyFont="1" applyFill="1" applyBorder="1" applyAlignment="1">
      <alignment vertical="center" wrapText="1"/>
    </xf>
    <xf numFmtId="43" fontId="22" fillId="2" borderId="116" xfId="1" quotePrefix="1" applyFont="1" applyFill="1" applyBorder="1" applyAlignment="1">
      <alignment vertical="center"/>
    </xf>
    <xf numFmtId="43" fontId="22" fillId="0" borderId="116" xfId="1" applyFont="1" applyFill="1" applyBorder="1" applyAlignment="1">
      <alignment horizontal="right" vertical="center"/>
    </xf>
    <xf numFmtId="43" fontId="23" fillId="2" borderId="116" xfId="1" quotePrefix="1" applyFont="1" applyFill="1" applyBorder="1" applyAlignment="1">
      <alignment vertical="center"/>
    </xf>
    <xf numFmtId="0" fontId="29" fillId="2" borderId="84" xfId="0" quotePrefix="1" applyFont="1" applyFill="1" applyBorder="1" applyAlignment="1">
      <alignment horizontal="center" vertical="top"/>
    </xf>
    <xf numFmtId="0" fontId="53" fillId="2" borderId="9" xfId="0" applyFont="1" applyFill="1" applyBorder="1" applyAlignment="1">
      <alignment vertical="center" wrapText="1"/>
    </xf>
    <xf numFmtId="43" fontId="22" fillId="0" borderId="120" xfId="1" applyFont="1" applyFill="1" applyBorder="1" applyAlignment="1">
      <alignment horizontal="right" vertical="center"/>
    </xf>
    <xf numFmtId="43" fontId="22" fillId="2" borderId="121" xfId="1" quotePrefix="1" applyFont="1" applyFill="1" applyBorder="1" applyAlignment="1">
      <alignment vertical="center"/>
    </xf>
    <xf numFmtId="43" fontId="23" fillId="0" borderId="119" xfId="1" applyFont="1" applyFill="1" applyBorder="1" applyAlignment="1">
      <alignment horizontal="right" vertical="center"/>
    </xf>
    <xf numFmtId="0" fontId="53" fillId="2" borderId="13" xfId="0" applyFont="1" applyFill="1" applyBorder="1" applyAlignment="1">
      <alignment vertical="center" wrapText="1"/>
    </xf>
    <xf numFmtId="165" fontId="22" fillId="0" borderId="127" xfId="2" applyNumberFormat="1" applyFont="1" applyFill="1" applyBorder="1" applyAlignment="1">
      <alignment horizontal="right" vertical="center"/>
    </xf>
    <xf numFmtId="43" fontId="22" fillId="2" borderId="30" xfId="1" quotePrefix="1" applyFont="1" applyFill="1" applyBorder="1" applyAlignment="1">
      <alignment horizontal="center" vertical="top"/>
    </xf>
    <xf numFmtId="43" fontId="22" fillId="2" borderId="29" xfId="1" quotePrefix="1" applyFont="1" applyFill="1" applyBorder="1" applyAlignment="1">
      <alignment horizontal="center" vertical="top"/>
    </xf>
    <xf numFmtId="43" fontId="23" fillId="0" borderId="30" xfId="1" applyFont="1" applyFill="1" applyBorder="1" applyAlignment="1">
      <alignment horizontal="right" vertical="center"/>
    </xf>
    <xf numFmtId="3" fontId="5" fillId="4" borderId="60" xfId="0" applyNumberFormat="1" applyFont="1" applyFill="1" applyBorder="1" applyAlignment="1">
      <alignment vertical="top"/>
    </xf>
    <xf numFmtId="3" fontId="5" fillId="4" borderId="61" xfId="0" applyNumberFormat="1" applyFont="1" applyFill="1" applyBorder="1" applyAlignment="1">
      <alignment vertical="top"/>
    </xf>
    <xf numFmtId="43" fontId="5" fillId="4" borderId="22" xfId="1" applyFont="1" applyFill="1" applyBorder="1" applyAlignment="1">
      <alignment vertical="top"/>
    </xf>
    <xf numFmtId="3" fontId="5" fillId="4" borderId="19" xfId="0" applyNumberFormat="1" applyFont="1" applyFill="1" applyBorder="1" applyAlignment="1">
      <alignment vertical="top"/>
    </xf>
    <xf numFmtId="165" fontId="5" fillId="4" borderId="61" xfId="0" applyNumberFormat="1" applyFont="1" applyFill="1" applyBorder="1" applyAlignment="1">
      <alignment vertical="top"/>
    </xf>
    <xf numFmtId="43" fontId="34" fillId="4" borderId="22" xfId="1" applyFont="1" applyFill="1" applyBorder="1" applyAlignment="1">
      <alignment vertical="top"/>
    </xf>
    <xf numFmtId="0" fontId="6" fillId="5" borderId="102" xfId="2" applyFont="1" applyFill="1" applyBorder="1" applyAlignment="1">
      <alignment vertical="top"/>
    </xf>
    <xf numFmtId="3" fontId="5" fillId="5" borderId="9" xfId="0" applyNumberFormat="1" applyFont="1" applyFill="1" applyBorder="1" applyAlignment="1">
      <alignment vertical="top"/>
    </xf>
    <xf numFmtId="3" fontId="5" fillId="5" borderId="65" xfId="0" applyNumberFormat="1" applyFont="1" applyFill="1" applyBorder="1" applyAlignment="1">
      <alignment vertical="top"/>
    </xf>
    <xf numFmtId="43" fontId="5" fillId="5" borderId="102" xfId="1" applyFont="1" applyFill="1" applyBorder="1" applyAlignment="1">
      <alignment vertical="top"/>
    </xf>
    <xf numFmtId="3" fontId="5" fillId="5" borderId="101" xfId="0" applyNumberFormat="1" applyFont="1" applyFill="1" applyBorder="1" applyAlignment="1">
      <alignment vertical="top"/>
    </xf>
    <xf numFmtId="165" fontId="5" fillId="5" borderId="80" xfId="0" applyNumberFormat="1" applyFont="1" applyFill="1" applyBorder="1" applyAlignment="1">
      <alignment vertical="top"/>
    </xf>
    <xf numFmtId="43" fontId="5" fillId="5" borderId="65" xfId="1" applyFont="1" applyFill="1" applyBorder="1" applyAlignment="1">
      <alignment vertical="top"/>
    </xf>
    <xf numFmtId="43" fontId="34" fillId="5" borderId="102" xfId="1" applyFont="1" applyFill="1" applyBorder="1" applyAlignment="1">
      <alignment vertical="top"/>
    </xf>
    <xf numFmtId="0" fontId="25" fillId="5" borderId="71" xfId="0" applyFont="1" applyFill="1" applyBorder="1" applyAlignment="1">
      <alignment vertical="top"/>
    </xf>
    <xf numFmtId="3" fontId="25" fillId="5" borderId="70" xfId="0" applyNumberFormat="1" applyFont="1" applyFill="1" applyBorder="1" applyAlignment="1">
      <alignment vertical="top"/>
    </xf>
    <xf numFmtId="3" fontId="25" fillId="5" borderId="71" xfId="0" applyNumberFormat="1" applyFont="1" applyFill="1" applyBorder="1" applyAlignment="1">
      <alignment vertical="top"/>
    </xf>
    <xf numFmtId="43" fontId="25" fillId="5" borderId="71" xfId="1" applyFont="1" applyFill="1" applyBorder="1" applyAlignment="1">
      <alignment vertical="top"/>
    </xf>
    <xf numFmtId="165" fontId="25" fillId="5" borderId="15" xfId="0" applyNumberFormat="1" applyFont="1" applyFill="1" applyBorder="1" applyAlignment="1">
      <alignment vertical="top"/>
    </xf>
    <xf numFmtId="43" fontId="7" fillId="5" borderId="71" xfId="1" applyFont="1" applyFill="1" applyBorder="1" applyAlignment="1">
      <alignment vertical="top"/>
    </xf>
    <xf numFmtId="43" fontId="25" fillId="5" borderId="15" xfId="1" applyFont="1" applyFill="1" applyBorder="1" applyAlignment="1">
      <alignment vertical="top"/>
    </xf>
    <xf numFmtId="43" fontId="29" fillId="5" borderId="71" xfId="1" applyFont="1" applyFill="1" applyBorder="1" applyAlignment="1">
      <alignment vertical="top"/>
    </xf>
    <xf numFmtId="43" fontId="7" fillId="7" borderId="18" xfId="1" applyFont="1" applyFill="1" applyBorder="1" applyAlignment="1">
      <alignment vertical="top"/>
    </xf>
    <xf numFmtId="43" fontId="33" fillId="7" borderId="54" xfId="1" applyFont="1" applyFill="1" applyBorder="1" applyAlignment="1">
      <alignment vertical="top"/>
    </xf>
    <xf numFmtId="43" fontId="5" fillId="4" borderId="81" xfId="1" applyFont="1" applyFill="1" applyBorder="1" applyAlignment="1">
      <alignment vertical="top"/>
    </xf>
    <xf numFmtId="43" fontId="34" fillId="4" borderId="10" xfId="1" applyFont="1" applyFill="1" applyBorder="1" applyAlignment="1">
      <alignment vertical="top"/>
    </xf>
    <xf numFmtId="3" fontId="22" fillId="2" borderId="65" xfId="2" applyNumberFormat="1" applyFont="1" applyFill="1" applyBorder="1" applyAlignment="1">
      <alignment wrapText="1"/>
    </xf>
    <xf numFmtId="43" fontId="5" fillId="0" borderId="66" xfId="1" applyFont="1" applyFill="1" applyBorder="1" applyAlignment="1">
      <alignment vertical="top"/>
    </xf>
    <xf numFmtId="43" fontId="5" fillId="0" borderId="102" xfId="1" applyFont="1" applyFill="1" applyBorder="1" applyAlignment="1">
      <alignment vertical="top"/>
    </xf>
    <xf numFmtId="43" fontId="34" fillId="0" borderId="65" xfId="1" applyFont="1" applyFill="1" applyBorder="1" applyAlignment="1">
      <alignment vertical="top"/>
    </xf>
    <xf numFmtId="3" fontId="47" fillId="0" borderId="70" xfId="0" applyNumberFormat="1" applyFont="1" applyFill="1" applyBorder="1" applyAlignment="1">
      <alignment vertical="center"/>
    </xf>
    <xf numFmtId="3" fontId="7" fillId="0" borderId="71" xfId="0" applyNumberFormat="1" applyFont="1" applyFill="1" applyBorder="1" applyAlignment="1">
      <alignment vertical="center"/>
    </xf>
    <xf numFmtId="43" fontId="7" fillId="0" borderId="71" xfId="1" applyFont="1" applyFill="1" applyBorder="1" applyAlignment="1">
      <alignment vertical="center"/>
    </xf>
    <xf numFmtId="43" fontId="7" fillId="0" borderId="33" xfId="1" applyFont="1" applyFill="1" applyBorder="1" applyAlignment="1">
      <alignment vertical="center"/>
    </xf>
    <xf numFmtId="3" fontId="7" fillId="0" borderId="70" xfId="0" applyNumberFormat="1" applyFont="1" applyFill="1" applyBorder="1" applyAlignment="1">
      <alignment vertical="center"/>
    </xf>
    <xf numFmtId="165" fontId="7" fillId="0" borderId="71" xfId="0" applyNumberFormat="1" applyFont="1" applyFill="1" applyBorder="1" applyAlignment="1">
      <alignment vertical="center"/>
    </xf>
    <xf numFmtId="43" fontId="33" fillId="0" borderId="71" xfId="1" applyFont="1" applyFill="1" applyBorder="1" applyAlignment="1">
      <alignment vertical="center"/>
    </xf>
    <xf numFmtId="0" fontId="34" fillId="0" borderId="0" xfId="0" applyFont="1" applyFill="1" applyBorder="1" applyAlignment="1">
      <alignment horizontal="center" vertical="center" wrapText="1"/>
    </xf>
    <xf numFmtId="0" fontId="33" fillId="2" borderId="0" xfId="2" applyFont="1" applyFill="1" applyBorder="1" applyAlignment="1">
      <alignment vertical="top" wrapText="1"/>
    </xf>
    <xf numFmtId="43" fontId="35" fillId="0" borderId="0" xfId="1" applyFont="1" applyFill="1" applyBorder="1" applyAlignment="1">
      <alignment vertical="center"/>
    </xf>
    <xf numFmtId="43" fontId="33" fillId="0" borderId="0" xfId="1" applyFont="1" applyFill="1" applyBorder="1" applyAlignment="1">
      <alignment horizontal="right" vertical="center"/>
    </xf>
    <xf numFmtId="3" fontId="35" fillId="0" borderId="0" xfId="3" applyNumberFormat="1" applyFont="1" applyFill="1" applyBorder="1" applyAlignment="1">
      <alignment vertical="center"/>
    </xf>
    <xf numFmtId="3" fontId="33" fillId="0" borderId="0" xfId="2" applyNumberFormat="1" applyFont="1" applyFill="1" applyBorder="1" applyAlignment="1">
      <alignment horizontal="right" vertical="center"/>
    </xf>
    <xf numFmtId="165" fontId="33" fillId="2" borderId="0" xfId="2" applyNumberFormat="1" applyFont="1" applyFill="1" applyBorder="1" applyAlignment="1">
      <alignment horizontal="right" vertical="center"/>
    </xf>
    <xf numFmtId="3" fontId="33" fillId="2" borderId="0" xfId="2" applyNumberFormat="1" applyFont="1" applyFill="1" applyBorder="1" applyAlignment="1">
      <alignment horizontal="right" vertical="center"/>
    </xf>
    <xf numFmtId="0" fontId="33" fillId="0" borderId="0" xfId="0" applyFont="1" applyFill="1" applyBorder="1" applyAlignment="1">
      <alignment horizontal="center" vertical="center" wrapText="1"/>
    </xf>
    <xf numFmtId="0" fontId="29" fillId="2" borderId="17" xfId="0" quotePrefix="1" applyFont="1" applyFill="1" applyBorder="1" applyAlignment="1">
      <alignment horizontal="center" vertical="top"/>
    </xf>
    <xf numFmtId="0" fontId="17" fillId="0" borderId="9" xfId="0" applyFont="1" applyBorder="1" applyAlignment="1">
      <alignment horizontal="center" vertical="center"/>
    </xf>
    <xf numFmtId="0" fontId="17" fillId="2" borderId="8" xfId="0" quotePrefix="1" applyFont="1" applyFill="1" applyBorder="1" applyAlignment="1">
      <alignment horizontal="center" vertical="center"/>
    </xf>
    <xf numFmtId="0" fontId="17" fillId="0" borderId="9" xfId="0" applyFont="1" applyBorder="1" applyAlignment="1">
      <alignment horizontal="center" vertical="top"/>
    </xf>
    <xf numFmtId="3" fontId="22" fillId="0" borderId="119" xfId="2" applyNumberFormat="1" applyFont="1" applyFill="1" applyBorder="1" applyAlignment="1">
      <alignment horizontal="right" vertical="center"/>
    </xf>
    <xf numFmtId="3" fontId="22" fillId="0" borderId="120" xfId="2" applyNumberFormat="1" applyFont="1" applyFill="1" applyBorder="1" applyAlignment="1">
      <alignment horizontal="right" vertical="center"/>
    </xf>
    <xf numFmtId="3" fontId="23" fillId="0" borderId="119" xfId="2" applyNumberFormat="1" applyFont="1" applyFill="1" applyBorder="1" applyAlignment="1">
      <alignment horizontal="right" vertical="center"/>
    </xf>
    <xf numFmtId="0" fontId="17" fillId="2" borderId="8" xfId="0" quotePrefix="1" applyFont="1" applyFill="1" applyBorder="1" applyAlignment="1">
      <alignment horizontal="center" vertical="top"/>
    </xf>
    <xf numFmtId="0" fontId="17" fillId="0" borderId="28" xfId="0" applyFont="1" applyBorder="1" applyAlignment="1">
      <alignment horizontal="center" vertical="top"/>
    </xf>
    <xf numFmtId="43" fontId="22" fillId="2" borderId="32" xfId="1" quotePrefix="1" applyFont="1" applyFill="1" applyBorder="1" applyAlignment="1">
      <alignment horizontal="center" vertical="top"/>
    </xf>
    <xf numFmtId="43" fontId="22" fillId="2" borderId="59" xfId="1" quotePrefix="1" applyFont="1" applyFill="1" applyBorder="1" applyAlignment="1">
      <alignment horizontal="center" vertical="top"/>
    </xf>
    <xf numFmtId="43" fontId="22" fillId="2" borderId="28" xfId="1" quotePrefix="1" applyFont="1" applyFill="1" applyBorder="1" applyAlignment="1">
      <alignment horizontal="center" vertical="top"/>
    </xf>
    <xf numFmtId="43" fontId="6" fillId="0" borderId="5" xfId="1" applyFont="1" applyFill="1" applyBorder="1" applyAlignment="1">
      <alignment horizontal="right" vertical="center"/>
    </xf>
    <xf numFmtId="43" fontId="22" fillId="2" borderId="5" xfId="1" quotePrefix="1" applyFont="1" applyFill="1" applyBorder="1" applyAlignment="1">
      <alignment horizontal="center" vertical="top"/>
    </xf>
    <xf numFmtId="43" fontId="23" fillId="2" borderId="29" xfId="1" quotePrefix="1" applyFont="1" applyFill="1" applyBorder="1" applyAlignment="1">
      <alignment horizontal="center" vertical="top"/>
    </xf>
    <xf numFmtId="0" fontId="17" fillId="2" borderId="59" xfId="0" quotePrefix="1" applyFont="1" applyFill="1" applyBorder="1" applyAlignment="1">
      <alignment horizontal="center" vertical="top"/>
    </xf>
    <xf numFmtId="0" fontId="15" fillId="4" borderId="10" xfId="2" applyFont="1" applyFill="1" applyBorder="1" applyAlignment="1">
      <alignment horizontal="left" vertical="center"/>
    </xf>
    <xf numFmtId="3" fontId="5" fillId="4" borderId="12" xfId="2" applyNumberFormat="1" applyFont="1" applyFill="1" applyBorder="1" applyAlignment="1">
      <alignment horizontal="right" vertical="center"/>
    </xf>
    <xf numFmtId="3" fontId="5" fillId="4" borderId="8" xfId="2" applyNumberFormat="1" applyFont="1" applyFill="1" applyBorder="1" applyAlignment="1">
      <alignment horizontal="right" vertical="center"/>
    </xf>
    <xf numFmtId="3" fontId="5" fillId="4" borderId="9" xfId="2" applyNumberFormat="1" applyFont="1" applyFill="1" applyBorder="1" applyAlignment="1">
      <alignment horizontal="right" vertical="center"/>
    </xf>
    <xf numFmtId="165" fontId="5" fillId="4" borderId="83" xfId="2" applyNumberFormat="1" applyFont="1" applyFill="1" applyBorder="1" applyAlignment="1">
      <alignment horizontal="right" vertical="center"/>
    </xf>
    <xf numFmtId="3" fontId="5" fillId="4" borderId="10" xfId="2" applyNumberFormat="1" applyFont="1" applyFill="1" applyBorder="1" applyAlignment="1">
      <alignment horizontal="right" vertical="center"/>
    </xf>
    <xf numFmtId="3" fontId="34" fillId="4" borderId="12" xfId="2" applyNumberFormat="1" applyFont="1" applyFill="1" applyBorder="1" applyAlignment="1">
      <alignment horizontal="right" vertical="center"/>
    </xf>
    <xf numFmtId="3" fontId="6" fillId="5" borderId="99" xfId="2" applyNumberFormat="1" applyFont="1" applyFill="1" applyBorder="1" applyAlignment="1">
      <alignment horizontal="right" vertical="center"/>
    </xf>
    <xf numFmtId="3" fontId="6" fillId="5" borderId="103" xfId="2" applyNumberFormat="1" applyFont="1" applyFill="1" applyBorder="1" applyAlignment="1">
      <alignment horizontal="right" vertical="center"/>
    </xf>
    <xf numFmtId="3" fontId="6" fillId="5" borderId="101" xfId="2" applyNumberFormat="1" applyFont="1" applyFill="1" applyBorder="1" applyAlignment="1">
      <alignment horizontal="right" vertical="center"/>
    </xf>
    <xf numFmtId="165" fontId="6" fillId="5" borderId="12" xfId="2" applyNumberFormat="1" applyFont="1" applyFill="1" applyBorder="1" applyAlignment="1">
      <alignment horizontal="right" vertical="center"/>
    </xf>
    <xf numFmtId="3" fontId="6" fillId="5" borderId="102" xfId="2" applyNumberFormat="1" applyFont="1" applyFill="1" applyBorder="1" applyAlignment="1">
      <alignment horizontal="right" vertical="center"/>
    </xf>
    <xf numFmtId="3" fontId="41" fillId="5" borderId="99" xfId="2" applyNumberFormat="1" applyFont="1" applyFill="1" applyBorder="1" applyAlignment="1">
      <alignment horizontal="right" vertical="center"/>
    </xf>
    <xf numFmtId="165" fontId="37" fillId="5" borderId="99" xfId="2" applyNumberFormat="1" applyFont="1" applyFill="1" applyBorder="1" applyAlignment="1">
      <alignment horizontal="right" vertical="center"/>
    </xf>
    <xf numFmtId="3" fontId="6" fillId="5" borderId="8" xfId="2" applyNumberFormat="1" applyFont="1" applyFill="1" applyBorder="1" applyAlignment="1">
      <alignment horizontal="right" vertical="center"/>
    </xf>
    <xf numFmtId="3" fontId="6" fillId="5" borderId="9" xfId="2" applyNumberFormat="1" applyFont="1" applyFill="1" applyBorder="1" applyAlignment="1">
      <alignment horizontal="right" vertical="center"/>
    </xf>
    <xf numFmtId="165" fontId="6" fillId="5" borderId="99" xfId="2" applyNumberFormat="1" applyFont="1" applyFill="1" applyBorder="1" applyAlignment="1">
      <alignment horizontal="right" vertical="center"/>
    </xf>
    <xf numFmtId="3" fontId="6" fillId="5" borderId="10" xfId="2" applyNumberFormat="1" applyFont="1" applyFill="1" applyBorder="1" applyAlignment="1">
      <alignment horizontal="right" vertical="center"/>
    </xf>
    <xf numFmtId="43" fontId="5" fillId="4" borderId="9" xfId="1" applyFont="1" applyFill="1" applyBorder="1" applyAlignment="1">
      <alignment horizontal="right" vertical="center"/>
    </xf>
    <xf numFmtId="43" fontId="5" fillId="4" borderId="10" xfId="1" applyFont="1" applyFill="1" applyBorder="1" applyAlignment="1">
      <alignment horizontal="right" vertical="center"/>
    </xf>
    <xf numFmtId="3" fontId="43" fillId="5" borderId="99" xfId="3" applyNumberFormat="1" applyFont="1" applyFill="1" applyBorder="1" applyAlignment="1">
      <alignment vertical="center"/>
    </xf>
    <xf numFmtId="3" fontId="43" fillId="5" borderId="103" xfId="3" applyNumberFormat="1" applyFont="1" applyFill="1" applyBorder="1" applyAlignment="1">
      <alignment vertical="center"/>
    </xf>
    <xf numFmtId="43" fontId="43" fillId="5" borderId="101" xfId="1" applyFont="1" applyFill="1" applyBorder="1" applyAlignment="1">
      <alignment vertical="center"/>
    </xf>
    <xf numFmtId="43" fontId="43" fillId="5" borderId="67" xfId="1" applyFont="1" applyFill="1" applyBorder="1" applyAlignment="1">
      <alignment vertical="center"/>
    </xf>
    <xf numFmtId="43" fontId="43" fillId="5" borderId="102" xfId="1" applyFont="1" applyFill="1" applyBorder="1" applyAlignment="1">
      <alignment vertical="center"/>
    </xf>
    <xf numFmtId="3" fontId="54" fillId="5" borderId="99" xfId="3" applyNumberFormat="1" applyFont="1" applyFill="1" applyBorder="1" applyAlignment="1">
      <alignment vertical="center"/>
    </xf>
    <xf numFmtId="43" fontId="16" fillId="5" borderId="75" xfId="1" applyFont="1" applyFill="1" applyBorder="1" applyAlignment="1">
      <alignment vertical="center"/>
    </xf>
    <xf numFmtId="43" fontId="16" fillId="5" borderId="73" xfId="1" applyFont="1" applyFill="1" applyBorder="1" applyAlignment="1">
      <alignment vertical="center"/>
    </xf>
    <xf numFmtId="43" fontId="16" fillId="5" borderId="71" xfId="1" applyFont="1" applyFill="1" applyBorder="1" applyAlignment="1">
      <alignment vertical="center"/>
    </xf>
    <xf numFmtId="3" fontId="5" fillId="4" borderId="102" xfId="2" applyNumberFormat="1" applyFont="1" applyFill="1" applyBorder="1" applyAlignment="1"/>
    <xf numFmtId="3" fontId="5" fillId="4" borderId="96" xfId="2" applyNumberFormat="1" applyFont="1" applyFill="1" applyBorder="1" applyAlignment="1"/>
    <xf numFmtId="3" fontId="5" fillId="4" borderId="128" xfId="2" applyNumberFormat="1" applyFont="1" applyFill="1" applyBorder="1" applyAlignment="1"/>
    <xf numFmtId="3" fontId="34" fillId="4" borderId="102" xfId="2" applyNumberFormat="1" applyFont="1" applyFill="1" applyBorder="1" applyAlignment="1"/>
    <xf numFmtId="0" fontId="7" fillId="2" borderId="15" xfId="2" applyFont="1" applyFill="1" applyBorder="1" applyAlignment="1">
      <alignment vertical="top" wrapText="1"/>
    </xf>
    <xf numFmtId="0" fontId="19" fillId="0" borderId="6" xfId="2" applyFont="1" applyFill="1" applyBorder="1" applyAlignment="1">
      <alignment horizontal="center" vertical="center" wrapText="1"/>
    </xf>
    <xf numFmtId="0" fontId="19" fillId="0" borderId="15" xfId="2" applyFont="1" applyFill="1" applyBorder="1" applyAlignment="1">
      <alignment horizontal="center" vertical="center" wrapText="1"/>
    </xf>
    <xf numFmtId="0" fontId="15" fillId="0" borderId="6" xfId="2" applyFont="1" applyFill="1" applyBorder="1" applyAlignment="1">
      <alignment horizontal="center" vertical="center" wrapText="1"/>
    </xf>
    <xf numFmtId="0" fontId="15" fillId="0" borderId="15" xfId="2" applyFont="1" applyFill="1" applyBorder="1" applyAlignment="1">
      <alignment horizontal="center" vertical="center" wrapText="1"/>
    </xf>
    <xf numFmtId="0" fontId="20" fillId="0" borderId="2" xfId="2" applyFont="1" applyFill="1" applyBorder="1" applyAlignment="1">
      <alignment horizontal="center" vertical="center" wrapText="1"/>
    </xf>
    <xf numFmtId="0" fontId="20" fillId="0" borderId="33" xfId="2" applyFont="1" applyFill="1" applyBorder="1" applyAlignment="1">
      <alignment horizontal="center" vertical="center" wrapText="1"/>
    </xf>
    <xf numFmtId="0" fontId="15" fillId="0" borderId="98" xfId="2" applyFont="1" applyFill="1" applyBorder="1" applyAlignment="1">
      <alignment horizontal="center" vertical="center" wrapText="1"/>
    </xf>
    <xf numFmtId="0" fontId="15" fillId="0" borderId="100" xfId="2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wrapText="1"/>
    </xf>
    <xf numFmtId="0" fontId="13" fillId="2" borderId="0" xfId="0" applyFont="1" applyFill="1" applyBorder="1" applyAlignment="1">
      <alignment horizontal="left" vertical="center" wrapText="1"/>
    </xf>
    <xf numFmtId="0" fontId="14" fillId="2" borderId="55" xfId="2" applyFont="1" applyFill="1" applyBorder="1" applyAlignment="1">
      <alignment horizontal="center" vertical="center" wrapText="1"/>
    </xf>
    <xf numFmtId="0" fontId="14" fillId="2" borderId="56" xfId="2" applyFont="1" applyFill="1" applyBorder="1" applyAlignment="1">
      <alignment horizontal="center" vertical="center" wrapText="1"/>
    </xf>
    <xf numFmtId="0" fontId="14" fillId="2" borderId="57" xfId="2" applyFont="1" applyFill="1" applyBorder="1" applyAlignment="1">
      <alignment horizontal="center" vertical="center" wrapText="1"/>
    </xf>
    <xf numFmtId="0" fontId="15" fillId="0" borderId="25" xfId="2" applyFont="1" applyFill="1" applyBorder="1" applyAlignment="1">
      <alignment horizontal="left" vertical="center" wrapText="1"/>
    </xf>
    <xf numFmtId="0" fontId="15" fillId="0" borderId="26" xfId="2" applyFont="1" applyFill="1" applyBorder="1" applyAlignment="1">
      <alignment horizontal="left" vertical="center" wrapText="1"/>
    </xf>
    <xf numFmtId="0" fontId="15" fillId="0" borderId="138" xfId="2" applyFont="1" applyFill="1" applyBorder="1" applyAlignment="1">
      <alignment horizontal="left" vertical="center" wrapText="1"/>
    </xf>
    <xf numFmtId="0" fontId="26" fillId="6" borderId="49" xfId="2" applyFont="1" applyFill="1" applyBorder="1" applyAlignment="1">
      <alignment horizontal="left" vertical="center"/>
    </xf>
    <xf numFmtId="0" fontId="16" fillId="6" borderId="16" xfId="0" applyFont="1" applyFill="1" applyBorder="1" applyAlignment="1">
      <alignment vertical="center"/>
    </xf>
    <xf numFmtId="0" fontId="26" fillId="7" borderId="47" xfId="2" applyFont="1" applyFill="1" applyBorder="1" applyAlignment="1">
      <alignment horizontal="left" vertical="center"/>
    </xf>
    <xf numFmtId="0" fontId="16" fillId="7" borderId="39" xfId="0" applyFont="1" applyFill="1" applyBorder="1" applyAlignment="1">
      <alignment vertical="center"/>
    </xf>
    <xf numFmtId="0" fontId="26" fillId="7" borderId="49" xfId="2" applyFont="1" applyFill="1" applyBorder="1" applyAlignment="1">
      <alignment horizontal="left" vertical="center"/>
    </xf>
    <xf numFmtId="0" fontId="16" fillId="7" borderId="16" xfId="0" applyFont="1" applyFill="1" applyBorder="1" applyAlignment="1">
      <alignment vertical="center"/>
    </xf>
    <xf numFmtId="0" fontId="5" fillId="2" borderId="43" xfId="0" applyFont="1" applyFill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26" fillId="6" borderId="47" xfId="2" applyFont="1" applyFill="1" applyBorder="1" applyAlignment="1">
      <alignment horizontal="left" vertical="center"/>
    </xf>
    <xf numFmtId="0" fontId="16" fillId="6" borderId="39" xfId="0" applyFont="1" applyFill="1" applyBorder="1" applyAlignment="1">
      <alignment vertical="center"/>
    </xf>
    <xf numFmtId="0" fontId="15" fillId="22" borderId="6" xfId="2" applyFont="1" applyFill="1" applyBorder="1" applyAlignment="1">
      <alignment horizontal="center" vertical="center" wrapText="1"/>
    </xf>
    <xf numFmtId="0" fontId="15" fillId="22" borderId="10" xfId="2" applyFont="1" applyFill="1" applyBorder="1" applyAlignment="1">
      <alignment horizontal="center" vertical="center" wrapText="1"/>
    </xf>
    <xf numFmtId="0" fontId="15" fillId="22" borderId="15" xfId="2" applyFont="1" applyFill="1" applyBorder="1" applyAlignment="1">
      <alignment horizontal="center" vertical="center" wrapText="1"/>
    </xf>
    <xf numFmtId="0" fontId="15" fillId="2" borderId="55" xfId="2" applyFont="1" applyFill="1" applyBorder="1" applyAlignment="1">
      <alignment horizontal="center" vertical="center" wrapText="1"/>
    </xf>
    <xf numFmtId="0" fontId="15" fillId="2" borderId="56" xfId="2" applyFont="1" applyFill="1" applyBorder="1" applyAlignment="1">
      <alignment horizontal="center" vertical="center" wrapText="1"/>
    </xf>
    <xf numFmtId="0" fontId="15" fillId="2" borderId="57" xfId="2" applyFont="1" applyFill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0" fontId="16" fillId="0" borderId="9" xfId="3" applyFont="1" applyBorder="1" applyAlignment="1">
      <alignment horizontal="center" vertical="center" wrapText="1"/>
    </xf>
    <xf numFmtId="0" fontId="16" fillId="0" borderId="13" xfId="3" applyFont="1" applyBorder="1" applyAlignment="1">
      <alignment horizontal="center" vertical="center" wrapText="1"/>
    </xf>
    <xf numFmtId="0" fontId="5" fillId="0" borderId="6" xfId="2" applyFont="1" applyBorder="1" applyAlignment="1">
      <alignment horizontal="center" vertical="center" wrapText="1"/>
    </xf>
    <xf numFmtId="0" fontId="16" fillId="0" borderId="10" xfId="3" applyFont="1" applyBorder="1" applyAlignment="1">
      <alignment horizontal="center" vertical="center" wrapText="1"/>
    </xf>
    <xf numFmtId="0" fontId="16" fillId="0" borderId="15" xfId="3" applyFont="1" applyBorder="1" applyAlignment="1">
      <alignment horizontal="center" vertical="center" wrapText="1"/>
    </xf>
    <xf numFmtId="0" fontId="15" fillId="0" borderId="6" xfId="2" applyFont="1" applyBorder="1" applyAlignment="1">
      <alignment horizontal="center" vertical="center" wrapText="1"/>
    </xf>
    <xf numFmtId="0" fontId="15" fillId="0" borderId="10" xfId="2" applyFont="1" applyBorder="1" applyAlignment="1">
      <alignment horizontal="center" vertical="center" wrapText="1"/>
    </xf>
    <xf numFmtId="0" fontId="15" fillId="0" borderId="15" xfId="2" applyFont="1" applyBorder="1" applyAlignment="1">
      <alignment horizontal="center" vertical="center" wrapText="1"/>
    </xf>
    <xf numFmtId="0" fontId="16" fillId="0" borderId="25" xfId="0" applyFont="1" applyBorder="1" applyAlignment="1">
      <alignment horizontal="left" vertical="center"/>
    </xf>
    <xf numFmtId="0" fontId="16" fillId="0" borderId="138" xfId="0" applyFont="1" applyBorder="1" applyAlignment="1">
      <alignment horizontal="left" vertical="center"/>
    </xf>
    <xf numFmtId="0" fontId="5" fillId="0" borderId="3" xfId="2" applyFont="1" applyFill="1" applyBorder="1" applyAlignment="1">
      <alignment horizontal="center" vertical="center" wrapText="1"/>
    </xf>
    <xf numFmtId="0" fontId="18" fillId="0" borderId="9" xfId="3" applyFont="1" applyFill="1" applyBorder="1" applyAlignment="1">
      <alignment horizontal="center" vertical="center" wrapText="1"/>
    </xf>
    <xf numFmtId="0" fontId="18" fillId="0" borderId="13" xfId="3" applyFont="1" applyFill="1" applyBorder="1" applyAlignment="1">
      <alignment horizontal="center" vertical="center" wrapText="1"/>
    </xf>
    <xf numFmtId="0" fontId="5" fillId="0" borderId="6" xfId="2" applyFont="1" applyFill="1" applyBorder="1" applyAlignment="1">
      <alignment horizontal="center" vertical="center" wrapText="1"/>
    </xf>
    <xf numFmtId="0" fontId="5" fillId="0" borderId="10" xfId="2" applyFont="1" applyFill="1" applyBorder="1" applyAlignment="1">
      <alignment horizontal="center" vertical="center" wrapText="1"/>
    </xf>
    <xf numFmtId="0" fontId="5" fillId="0" borderId="15" xfId="2" applyFont="1" applyFill="1" applyBorder="1" applyAlignment="1">
      <alignment horizontal="center" vertical="center" wrapText="1"/>
    </xf>
    <xf numFmtId="0" fontId="15" fillId="0" borderId="2" xfId="2" applyFont="1" applyFill="1" applyBorder="1" applyAlignment="1">
      <alignment horizontal="center" vertical="center" wrapText="1"/>
    </xf>
    <xf numFmtId="0" fontId="15" fillId="0" borderId="8" xfId="2" applyFont="1" applyFill="1" applyBorder="1" applyAlignment="1">
      <alignment horizontal="center" vertical="center" wrapText="1"/>
    </xf>
    <xf numFmtId="0" fontId="15" fillId="0" borderId="33" xfId="2" applyFont="1" applyFill="1" applyBorder="1" applyAlignment="1">
      <alignment horizontal="center" vertical="center" wrapText="1"/>
    </xf>
    <xf numFmtId="0" fontId="5" fillId="0" borderId="9" xfId="2" applyFont="1" applyFill="1" applyBorder="1" applyAlignment="1">
      <alignment horizontal="center" vertical="center" wrapText="1"/>
    </xf>
    <xf numFmtId="0" fontId="5" fillId="0" borderId="13" xfId="2" applyFont="1" applyFill="1" applyBorder="1" applyAlignment="1">
      <alignment horizontal="center" vertical="center" wrapText="1"/>
    </xf>
    <xf numFmtId="0" fontId="17" fillId="0" borderId="2" xfId="2" applyFont="1" applyBorder="1" applyAlignment="1">
      <alignment horizontal="center" vertical="center" wrapText="1"/>
    </xf>
    <xf numFmtId="0" fontId="17" fillId="0" borderId="33" xfId="2" applyFont="1" applyBorder="1" applyAlignment="1">
      <alignment horizontal="center" vertical="center" wrapText="1"/>
    </xf>
    <xf numFmtId="0" fontId="16" fillId="6" borderId="37" xfId="0" applyFont="1" applyFill="1" applyBorder="1" applyAlignment="1">
      <alignment vertical="center"/>
    </xf>
    <xf numFmtId="0" fontId="13" fillId="2" borderId="14" xfId="0" applyFont="1" applyFill="1" applyBorder="1" applyAlignment="1">
      <alignment horizontal="left" vertical="center" wrapText="1"/>
    </xf>
    <xf numFmtId="0" fontId="18" fillId="0" borderId="42" xfId="0" applyFont="1" applyBorder="1" applyAlignment="1">
      <alignment horizontal="center" vertical="center"/>
    </xf>
    <xf numFmtId="0" fontId="18" fillId="0" borderId="50" xfId="0" applyFont="1" applyBorder="1" applyAlignment="1">
      <alignment horizontal="center" vertical="center"/>
    </xf>
    <xf numFmtId="0" fontId="18" fillId="0" borderId="49" xfId="0" applyFont="1" applyBorder="1" applyAlignment="1">
      <alignment horizontal="center" vertical="center"/>
    </xf>
    <xf numFmtId="0" fontId="35" fillId="0" borderId="84" xfId="0" applyFont="1" applyBorder="1" applyAlignment="1">
      <alignment horizontal="center" vertical="center" wrapText="1"/>
    </xf>
    <xf numFmtId="0" fontId="35" fillId="0" borderId="8" xfId="0" applyFont="1" applyBorder="1" applyAlignment="1">
      <alignment horizontal="center" vertical="center" wrapText="1"/>
    </xf>
    <xf numFmtId="0" fontId="35" fillId="0" borderId="33" xfId="0" applyFont="1" applyBorder="1" applyAlignment="1">
      <alignment horizontal="center" vertical="center" wrapText="1"/>
    </xf>
    <xf numFmtId="3" fontId="20" fillId="2" borderId="66" xfId="2" applyNumberFormat="1" applyFont="1" applyFill="1" applyBorder="1" applyAlignment="1">
      <alignment horizontal="center" vertical="center" wrapText="1"/>
    </xf>
    <xf numFmtId="0" fontId="35" fillId="0" borderId="14" xfId="0" applyFont="1" applyBorder="1"/>
    <xf numFmtId="0" fontId="32" fillId="2" borderId="0" xfId="2" applyFont="1" applyFill="1" applyBorder="1" applyAlignment="1">
      <alignment wrapText="1"/>
    </xf>
    <xf numFmtId="0" fontId="38" fillId="0" borderId="0" xfId="0" applyFont="1" applyBorder="1" applyAlignment="1">
      <alignment wrapText="1"/>
    </xf>
    <xf numFmtId="0" fontId="5" fillId="0" borderId="19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5" fillId="0" borderId="22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5" fillId="0" borderId="15" xfId="2" applyFont="1" applyBorder="1" applyAlignment="1">
      <alignment horizontal="center" vertical="center" wrapText="1"/>
    </xf>
    <xf numFmtId="0" fontId="7" fillId="0" borderId="84" xfId="2" applyFont="1" applyBorder="1" applyAlignment="1">
      <alignment horizontal="center" vertical="center" wrapText="1"/>
    </xf>
    <xf numFmtId="0" fontId="7" fillId="0" borderId="8" xfId="2" applyFont="1" applyBorder="1" applyAlignment="1">
      <alignment horizontal="center" vertical="center" wrapText="1"/>
    </xf>
    <xf numFmtId="0" fontId="7" fillId="0" borderId="33" xfId="2" applyFont="1" applyBorder="1" applyAlignment="1">
      <alignment horizontal="center" vertical="center" wrapText="1"/>
    </xf>
    <xf numFmtId="0" fontId="14" fillId="2" borderId="115" xfId="2" applyFont="1" applyFill="1" applyBorder="1" applyAlignment="1">
      <alignment horizontal="center" vertical="center" wrapText="1"/>
    </xf>
    <xf numFmtId="0" fontId="34" fillId="0" borderId="84" xfId="2" applyFont="1" applyBorder="1" applyAlignment="1">
      <alignment horizontal="center" vertical="center" wrapText="1"/>
    </xf>
    <xf numFmtId="0" fontId="34" fillId="0" borderId="8" xfId="2" applyFont="1" applyBorder="1" applyAlignment="1">
      <alignment horizontal="center" vertical="center" wrapText="1"/>
    </xf>
    <xf numFmtId="0" fontId="34" fillId="0" borderId="33" xfId="2" applyFont="1" applyBorder="1" applyAlignment="1">
      <alignment horizontal="center" vertical="center" wrapText="1"/>
    </xf>
    <xf numFmtId="0" fontId="15" fillId="0" borderId="24" xfId="2" applyFont="1" applyFill="1" applyBorder="1" applyAlignment="1">
      <alignment horizontal="left" vertical="center" wrapText="1"/>
    </xf>
    <xf numFmtId="0" fontId="5" fillId="5" borderId="60" xfId="2" applyFont="1" applyFill="1" applyBorder="1" applyAlignment="1">
      <alignment vertical="top"/>
    </xf>
    <xf numFmtId="0" fontId="16" fillId="0" borderId="64" xfId="0" applyFont="1" applyBorder="1" applyAlignment="1">
      <alignment vertical="top"/>
    </xf>
    <xf numFmtId="0" fontId="16" fillId="0" borderId="70" xfId="0" applyFont="1" applyBorder="1" applyAlignment="1">
      <alignment vertical="top"/>
    </xf>
    <xf numFmtId="3" fontId="33" fillId="5" borderId="62" xfId="2" applyNumberFormat="1" applyFont="1" applyFill="1" applyBorder="1" applyAlignment="1">
      <alignment vertical="top" wrapText="1"/>
    </xf>
    <xf numFmtId="0" fontId="35" fillId="0" borderId="68" xfId="0" applyFont="1" applyBorder="1" applyAlignment="1">
      <alignment vertical="top" wrapText="1"/>
    </xf>
    <xf numFmtId="0" fontId="35" fillId="0" borderId="66" xfId="0" applyFont="1" applyBorder="1" applyAlignment="1">
      <alignment vertical="top" wrapText="1"/>
    </xf>
    <xf numFmtId="0" fontId="35" fillId="0" borderId="72" xfId="0" applyFont="1" applyBorder="1" applyAlignment="1">
      <alignment vertical="top" wrapText="1"/>
    </xf>
    <xf numFmtId="0" fontId="41" fillId="5" borderId="66" xfId="2" applyFont="1" applyFill="1" applyBorder="1" applyAlignment="1">
      <alignment vertical="top"/>
    </xf>
    <xf numFmtId="0" fontId="35" fillId="0" borderId="66" xfId="0" applyFont="1" applyBorder="1" applyAlignment="1">
      <alignment vertical="top"/>
    </xf>
    <xf numFmtId="3" fontId="30" fillId="5" borderId="66" xfId="2" applyNumberFormat="1" applyFont="1" applyFill="1" applyBorder="1" applyAlignment="1">
      <alignment vertical="top" wrapText="1"/>
    </xf>
    <xf numFmtId="0" fontId="35" fillId="0" borderId="66" xfId="0" applyFont="1" applyBorder="1" applyAlignment="1"/>
    <xf numFmtId="0" fontId="35" fillId="0" borderId="72" xfId="0" applyFont="1" applyBorder="1" applyAlignment="1"/>
    <xf numFmtId="0" fontId="5" fillId="17" borderId="60" xfId="2" applyFont="1" applyFill="1" applyBorder="1" applyAlignment="1">
      <alignment horizontal="center" vertical="top"/>
    </xf>
    <xf numFmtId="0" fontId="16" fillId="17" borderId="64" xfId="0" applyFont="1" applyFill="1" applyBorder="1" applyAlignment="1">
      <alignment horizontal="center" vertical="top"/>
    </xf>
    <xf numFmtId="0" fontId="16" fillId="17" borderId="70" xfId="0" applyFont="1" applyFill="1" applyBorder="1" applyAlignment="1">
      <alignment horizontal="center" vertical="top"/>
    </xf>
    <xf numFmtId="3" fontId="33" fillId="17" borderId="62" xfId="2" applyNumberFormat="1" applyFont="1" applyFill="1" applyBorder="1" applyAlignment="1">
      <alignment horizontal="center" vertical="top" wrapText="1"/>
    </xf>
    <xf numFmtId="0" fontId="35" fillId="17" borderId="66" xfId="0" applyFont="1" applyFill="1" applyBorder="1" applyAlignment="1">
      <alignment horizontal="center" vertical="top" wrapText="1"/>
    </xf>
    <xf numFmtId="0" fontId="35" fillId="17" borderId="72" xfId="0" applyFont="1" applyFill="1" applyBorder="1" applyAlignment="1">
      <alignment horizontal="center" vertical="top" wrapText="1"/>
    </xf>
    <xf numFmtId="0" fontId="20" fillId="0" borderId="6" xfId="2" applyFont="1" applyFill="1" applyBorder="1" applyAlignment="1">
      <alignment horizontal="center" vertical="center" wrapText="1"/>
    </xf>
    <xf numFmtId="0" fontId="20" fillId="0" borderId="15" xfId="2" applyFont="1" applyFill="1" applyBorder="1" applyAlignment="1">
      <alignment horizontal="center" vertical="center" wrapText="1"/>
    </xf>
    <xf numFmtId="0" fontId="5" fillId="0" borderId="60" xfId="2" applyFont="1" applyFill="1" applyBorder="1" applyAlignment="1">
      <alignment horizontal="center" vertical="center"/>
    </xf>
    <xf numFmtId="0" fontId="5" fillId="0" borderId="64" xfId="2" applyFont="1" applyFill="1" applyBorder="1" applyAlignment="1">
      <alignment horizontal="center" vertical="center"/>
    </xf>
    <xf numFmtId="0" fontId="16" fillId="0" borderId="64" xfId="0" applyFont="1" applyBorder="1" applyAlignment="1">
      <alignment horizontal="center" vertical="center"/>
    </xf>
    <xf numFmtId="0" fontId="16" fillId="0" borderId="70" xfId="0" applyFont="1" applyBorder="1" applyAlignment="1">
      <alignment horizontal="center" vertical="center"/>
    </xf>
    <xf numFmtId="0" fontId="33" fillId="0" borderId="8" xfId="2" applyFont="1" applyFill="1" applyBorder="1" applyAlignment="1">
      <alignment horizontal="center" vertical="center" wrapText="1"/>
    </xf>
    <xf numFmtId="0" fontId="33" fillId="0" borderId="59" xfId="2" applyFont="1" applyFill="1" applyBorder="1" applyAlignment="1">
      <alignment horizontal="center" vertical="center" wrapText="1"/>
    </xf>
    <xf numFmtId="3" fontId="20" fillId="2" borderId="81" xfId="2" applyNumberFormat="1" applyFont="1" applyFill="1" applyBorder="1" applyAlignment="1">
      <alignment horizontal="center" vertical="center" wrapText="1"/>
    </xf>
    <xf numFmtId="0" fontId="35" fillId="0" borderId="66" xfId="0" applyFont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 wrapText="1"/>
    </xf>
    <xf numFmtId="0" fontId="35" fillId="0" borderId="72" xfId="0" applyFont="1" applyBorder="1" applyAlignment="1">
      <alignment horizontal="center" vertical="center" wrapText="1"/>
    </xf>
    <xf numFmtId="0" fontId="5" fillId="0" borderId="70" xfId="2" applyFont="1" applyFill="1" applyBorder="1" applyAlignment="1">
      <alignment horizontal="center" vertical="center"/>
    </xf>
    <xf numFmtId="3" fontId="34" fillId="2" borderId="81" xfId="2" applyNumberFormat="1" applyFont="1" applyFill="1" applyBorder="1" applyAlignment="1">
      <alignment horizontal="center" vertical="center" wrapText="1"/>
    </xf>
    <xf numFmtId="3" fontId="34" fillId="2" borderId="66" xfId="2" applyNumberFormat="1" applyFont="1" applyFill="1" applyBorder="1" applyAlignment="1">
      <alignment horizontal="center" vertical="center" wrapText="1"/>
    </xf>
    <xf numFmtId="3" fontId="34" fillId="2" borderId="72" xfId="2" applyNumberFormat="1" applyFont="1" applyFill="1" applyBorder="1" applyAlignment="1">
      <alignment horizontal="center" vertical="center" wrapText="1"/>
    </xf>
    <xf numFmtId="0" fontId="33" fillId="0" borderId="62" xfId="2" applyFont="1" applyFill="1" applyBorder="1" applyAlignment="1">
      <alignment horizontal="center" vertical="center" wrapText="1"/>
    </xf>
    <xf numFmtId="0" fontId="33" fillId="0" borderId="66" xfId="2" applyFont="1" applyFill="1" applyBorder="1" applyAlignment="1">
      <alignment horizontal="center" vertical="center" wrapText="1"/>
    </xf>
    <xf numFmtId="0" fontId="20" fillId="2" borderId="66" xfId="2" applyFont="1" applyFill="1" applyBorder="1" applyAlignment="1">
      <alignment horizontal="center" vertical="center" wrapText="1"/>
    </xf>
    <xf numFmtId="0" fontId="35" fillId="0" borderId="66" xfId="0" applyFont="1" applyBorder="1" applyAlignment="1">
      <alignment wrapText="1"/>
    </xf>
    <xf numFmtId="0" fontId="35" fillId="0" borderId="72" xfId="0" applyFont="1" applyBorder="1" applyAlignment="1">
      <alignment wrapText="1"/>
    </xf>
    <xf numFmtId="0" fontId="5" fillId="0" borderId="60" xfId="2" applyFont="1" applyFill="1" applyBorder="1" applyAlignment="1">
      <alignment horizontal="center" vertical="center" wrapText="1"/>
    </xf>
    <xf numFmtId="0" fontId="5" fillId="0" borderId="64" xfId="2" applyFont="1" applyFill="1" applyBorder="1" applyAlignment="1">
      <alignment horizontal="center" vertical="center" wrapText="1"/>
    </xf>
    <xf numFmtId="0" fontId="5" fillId="0" borderId="70" xfId="2" applyFont="1" applyFill="1" applyBorder="1" applyAlignment="1">
      <alignment horizontal="center" vertical="center" wrapText="1"/>
    </xf>
    <xf numFmtId="3" fontId="20" fillId="2" borderId="2" xfId="2" applyNumberFormat="1" applyFont="1" applyFill="1" applyBorder="1" applyAlignment="1">
      <alignment horizontal="center" vertical="center" wrapText="1"/>
    </xf>
    <xf numFmtId="3" fontId="20" fillId="2" borderId="8" xfId="2" applyNumberFormat="1" applyFont="1" applyFill="1" applyBorder="1" applyAlignment="1">
      <alignment horizontal="center" vertical="center" wrapText="1"/>
    </xf>
    <xf numFmtId="3" fontId="20" fillId="2" borderId="33" xfId="2" applyNumberFormat="1" applyFont="1" applyFill="1" applyBorder="1" applyAlignment="1">
      <alignment horizontal="center" vertical="center" wrapText="1"/>
    </xf>
    <xf numFmtId="0" fontId="33" fillId="0" borderId="96" xfId="2" applyFont="1" applyFill="1" applyBorder="1" applyAlignment="1">
      <alignment horizontal="center" vertical="center" wrapText="1"/>
    </xf>
    <xf numFmtId="0" fontId="33" fillId="0" borderId="97" xfId="2" applyFont="1" applyFill="1" applyBorder="1" applyAlignment="1">
      <alignment horizontal="center" vertical="center" wrapText="1"/>
    </xf>
    <xf numFmtId="0" fontId="33" fillId="0" borderId="98" xfId="2" applyFont="1" applyFill="1" applyBorder="1" applyAlignment="1">
      <alignment horizontal="center" vertical="center" wrapText="1"/>
    </xf>
    <xf numFmtId="0" fontId="33" fillId="0" borderId="100" xfId="2" applyFont="1" applyFill="1" applyBorder="1" applyAlignment="1">
      <alignment horizontal="center" vertical="center" wrapText="1"/>
    </xf>
    <xf numFmtId="3" fontId="20" fillId="2" borderId="99" xfId="2" applyNumberFormat="1" applyFont="1" applyFill="1" applyBorder="1" applyAlignment="1">
      <alignment horizontal="center" vertical="center" wrapText="1"/>
    </xf>
    <xf numFmtId="0" fontId="5" fillId="0" borderId="64" xfId="2" quotePrefix="1" applyFont="1" applyFill="1" applyBorder="1" applyAlignment="1">
      <alignment horizontal="center" vertical="center"/>
    </xf>
    <xf numFmtId="0" fontId="5" fillId="0" borderId="70" xfId="2" quotePrefix="1" applyFont="1" applyFill="1" applyBorder="1" applyAlignment="1">
      <alignment horizontal="center" vertical="center"/>
    </xf>
    <xf numFmtId="0" fontId="33" fillId="0" borderId="72" xfId="2" applyFont="1" applyFill="1" applyBorder="1" applyAlignment="1">
      <alignment horizontal="center" vertical="center" wrapText="1"/>
    </xf>
    <xf numFmtId="0" fontId="35" fillId="0" borderId="0" xfId="0" applyFont="1" applyBorder="1"/>
    <xf numFmtId="0" fontId="5" fillId="17" borderId="64" xfId="2" applyFont="1" applyFill="1" applyBorder="1" applyAlignment="1">
      <alignment horizontal="center" vertical="top"/>
    </xf>
    <xf numFmtId="0" fontId="33" fillId="17" borderId="62" xfId="2" applyFont="1" applyFill="1" applyBorder="1" applyAlignment="1">
      <alignment horizontal="center" vertical="center" wrapText="1"/>
    </xf>
    <xf numFmtId="0" fontId="33" fillId="17" borderId="66" xfId="2" applyFont="1" applyFill="1" applyBorder="1" applyAlignment="1">
      <alignment horizontal="center" vertical="center" wrapText="1"/>
    </xf>
    <xf numFmtId="0" fontId="35" fillId="17" borderId="66" xfId="0" applyFont="1" applyFill="1" applyBorder="1" applyAlignment="1">
      <alignment horizontal="center" vertical="center" wrapText="1"/>
    </xf>
    <xf numFmtId="0" fontId="35" fillId="17" borderId="72" xfId="0" applyFont="1" applyFill="1" applyBorder="1" applyAlignment="1">
      <alignment horizontal="center" vertical="center" wrapText="1"/>
    </xf>
    <xf numFmtId="0" fontId="41" fillId="17" borderId="81" xfId="2" applyFont="1" applyFill="1" applyBorder="1" applyAlignment="1">
      <alignment horizontal="left" vertical="center"/>
    </xf>
    <xf numFmtId="0" fontId="35" fillId="17" borderId="66" xfId="0" applyFont="1" applyFill="1" applyBorder="1" applyAlignment="1"/>
    <xf numFmtId="0" fontId="30" fillId="17" borderId="81" xfId="2" applyFont="1" applyFill="1" applyBorder="1" applyAlignment="1">
      <alignment vertical="top"/>
    </xf>
    <xf numFmtId="0" fontId="35" fillId="17" borderId="72" xfId="0" applyFont="1" applyFill="1" applyBorder="1" applyAlignment="1">
      <alignment vertical="top"/>
    </xf>
    <xf numFmtId="0" fontId="5" fillId="0" borderId="82" xfId="2" applyFont="1" applyFill="1" applyBorder="1" applyAlignment="1">
      <alignment horizontal="center" vertical="center"/>
    </xf>
    <xf numFmtId="0" fontId="16" fillId="0" borderId="101" xfId="0" applyFont="1" applyBorder="1" applyAlignment="1">
      <alignment horizontal="center" vertical="center"/>
    </xf>
    <xf numFmtId="3" fontId="33" fillId="0" borderId="81" xfId="2" applyNumberFormat="1" applyFont="1" applyFill="1" applyBorder="1" applyAlignment="1">
      <alignment horizontal="center" vertical="center" wrapText="1"/>
    </xf>
    <xf numFmtId="3" fontId="33" fillId="0" borderId="66" xfId="2" applyNumberFormat="1" applyFont="1" applyFill="1" applyBorder="1" applyAlignment="1">
      <alignment horizontal="center" vertical="center" wrapText="1"/>
    </xf>
    <xf numFmtId="0" fontId="35" fillId="0" borderId="103" xfId="0" applyFont="1" applyBorder="1" applyAlignment="1">
      <alignment horizontal="center" vertical="center" wrapText="1"/>
    </xf>
    <xf numFmtId="0" fontId="5" fillId="2" borderId="60" xfId="2" applyFont="1" applyFill="1" applyBorder="1" applyAlignment="1">
      <alignment horizontal="center" vertical="center"/>
    </xf>
    <xf numFmtId="0" fontId="5" fillId="2" borderId="64" xfId="2" applyFont="1" applyFill="1" applyBorder="1" applyAlignment="1">
      <alignment horizontal="center" vertical="center"/>
    </xf>
    <xf numFmtId="3" fontId="5" fillId="8" borderId="60" xfId="2" applyNumberFormat="1" applyFont="1" applyFill="1" applyBorder="1" applyAlignment="1">
      <alignment horizontal="center" vertical="center" wrapText="1"/>
    </xf>
    <xf numFmtId="3" fontId="5" fillId="8" borderId="61" xfId="2" applyNumberFormat="1" applyFont="1" applyFill="1" applyBorder="1" applyAlignment="1">
      <alignment horizontal="center" vertical="center" wrapText="1"/>
    </xf>
    <xf numFmtId="3" fontId="5" fillId="8" borderId="62" xfId="2" applyNumberFormat="1" applyFont="1" applyFill="1" applyBorder="1" applyAlignment="1">
      <alignment horizontal="center" vertical="center" wrapText="1"/>
    </xf>
    <xf numFmtId="3" fontId="33" fillId="0" borderId="62" xfId="2" applyNumberFormat="1" applyFont="1" applyFill="1" applyBorder="1" applyAlignment="1">
      <alignment horizontal="center" vertical="center" wrapText="1"/>
    </xf>
    <xf numFmtId="0" fontId="35" fillId="0" borderId="66" xfId="0" applyFont="1" applyBorder="1" applyAlignment="1">
      <alignment horizontal="center" vertical="center"/>
    </xf>
    <xf numFmtId="3" fontId="33" fillId="20" borderId="62" xfId="2" applyNumberFormat="1" applyFont="1" applyFill="1" applyBorder="1" applyAlignment="1">
      <alignment vertical="top" wrapText="1"/>
    </xf>
    <xf numFmtId="3" fontId="33" fillId="20" borderId="81" xfId="2" applyNumberFormat="1" applyFont="1" applyFill="1" applyBorder="1" applyAlignment="1">
      <alignment vertical="top" wrapText="1"/>
    </xf>
    <xf numFmtId="0" fontId="35" fillId="16" borderId="66" xfId="0" applyFont="1" applyFill="1" applyBorder="1" applyAlignment="1">
      <alignment vertical="top" wrapText="1"/>
    </xf>
    <xf numFmtId="0" fontId="35" fillId="16" borderId="72" xfId="0" applyFont="1" applyFill="1" applyBorder="1" applyAlignment="1">
      <alignment vertical="top" wrapText="1"/>
    </xf>
    <xf numFmtId="3" fontId="41" fillId="20" borderId="81" xfId="2" applyNumberFormat="1" applyFont="1" applyFill="1" applyBorder="1" applyAlignment="1">
      <alignment vertical="top" wrapText="1"/>
    </xf>
    <xf numFmtId="0" fontId="35" fillId="16" borderId="66" xfId="0" applyFont="1" applyFill="1" applyBorder="1" applyAlignment="1">
      <alignment vertical="top"/>
    </xf>
    <xf numFmtId="3" fontId="30" fillId="16" borderId="81" xfId="2" applyNumberFormat="1" applyFont="1" applyFill="1" applyBorder="1" applyAlignment="1">
      <alignment vertical="top" wrapText="1"/>
    </xf>
    <xf numFmtId="0" fontId="35" fillId="16" borderId="66" xfId="0" applyFont="1" applyFill="1" applyBorder="1" applyAlignment="1"/>
    <xf numFmtId="0" fontId="35" fillId="16" borderId="72" xfId="0" applyFont="1" applyFill="1" applyBorder="1" applyAlignment="1"/>
    <xf numFmtId="3" fontId="33" fillId="17" borderId="84" xfId="2" applyNumberFormat="1" applyFont="1" applyFill="1" applyBorder="1" applyAlignment="1">
      <alignment horizontal="center" vertical="center" wrapText="1"/>
    </xf>
    <xf numFmtId="3" fontId="33" fillId="17" borderId="8" xfId="2" applyNumberFormat="1" applyFont="1" applyFill="1" applyBorder="1" applyAlignment="1">
      <alignment horizontal="center" vertical="center" wrapText="1"/>
    </xf>
    <xf numFmtId="3" fontId="33" fillId="17" borderId="33" xfId="2" applyNumberFormat="1" applyFont="1" applyFill="1" applyBorder="1" applyAlignment="1">
      <alignment horizontal="center" vertical="center" wrapText="1"/>
    </xf>
    <xf numFmtId="3" fontId="41" fillId="17" borderId="8" xfId="2" applyNumberFormat="1" applyFont="1" applyFill="1" applyBorder="1" applyAlignment="1">
      <alignment horizontal="center" vertical="top" wrapText="1"/>
    </xf>
    <xf numFmtId="3" fontId="41" fillId="17" borderId="81" xfId="2" applyNumberFormat="1" applyFont="1" applyFill="1" applyBorder="1" applyAlignment="1">
      <alignment horizontal="center" vertical="top" wrapText="1"/>
    </xf>
    <xf numFmtId="3" fontId="30" fillId="17" borderId="8" xfId="2" applyNumberFormat="1" applyFont="1" applyFill="1" applyBorder="1" applyAlignment="1">
      <alignment horizontal="center" vertical="top" wrapText="1"/>
    </xf>
    <xf numFmtId="3" fontId="30" fillId="17" borderId="33" xfId="2" applyNumberFormat="1" applyFont="1" applyFill="1" applyBorder="1" applyAlignment="1">
      <alignment horizontal="center" vertical="top" wrapText="1"/>
    </xf>
    <xf numFmtId="0" fontId="5" fillId="0" borderId="41" xfId="2" applyFont="1" applyFill="1" applyBorder="1" applyAlignment="1">
      <alignment horizontal="center" vertical="center"/>
    </xf>
    <xf numFmtId="0" fontId="5" fillId="0" borderId="43" xfId="2" applyFont="1" applyFill="1" applyBorder="1" applyAlignment="1">
      <alignment horizontal="center" vertical="center"/>
    </xf>
    <xf numFmtId="0" fontId="5" fillId="0" borderId="45" xfId="2" applyFont="1" applyFill="1" applyBorder="1" applyAlignment="1">
      <alignment horizontal="center" vertical="center"/>
    </xf>
    <xf numFmtId="0" fontId="33" fillId="0" borderId="84" xfId="2" applyFont="1" applyFill="1" applyBorder="1" applyAlignment="1">
      <alignment horizontal="center" vertical="center" wrapText="1"/>
    </xf>
    <xf numFmtId="0" fontId="33" fillId="0" borderId="33" xfId="2" applyFont="1" applyFill="1" applyBorder="1" applyAlignment="1">
      <alignment horizontal="center" vertical="center" wrapText="1"/>
    </xf>
    <xf numFmtId="3" fontId="20" fillId="2" borderId="103" xfId="2" applyNumberFormat="1" applyFont="1" applyFill="1" applyBorder="1" applyAlignment="1">
      <alignment horizontal="center" vertical="center" wrapText="1"/>
    </xf>
    <xf numFmtId="0" fontId="36" fillId="0" borderId="103" xfId="0" applyFont="1" applyBorder="1" applyAlignment="1">
      <alignment horizontal="center" vertical="center" wrapText="1"/>
    </xf>
    <xf numFmtId="0" fontId="36" fillId="0" borderId="8" xfId="0" applyFont="1" applyBorder="1" applyAlignment="1">
      <alignment horizontal="center" vertical="center" wrapText="1"/>
    </xf>
    <xf numFmtId="0" fontId="36" fillId="0" borderId="33" xfId="0" applyFont="1" applyBorder="1" applyAlignment="1">
      <alignment horizontal="center" vertical="center" wrapText="1"/>
    </xf>
    <xf numFmtId="0" fontId="5" fillId="0" borderId="60" xfId="2" quotePrefix="1" applyFont="1" applyFill="1" applyBorder="1" applyAlignment="1">
      <alignment horizontal="center" vertical="center"/>
    </xf>
    <xf numFmtId="0" fontId="5" fillId="17" borderId="82" xfId="2" applyFont="1" applyFill="1" applyBorder="1" applyAlignment="1">
      <alignment horizontal="center" vertical="top"/>
    </xf>
    <xf numFmtId="0" fontId="5" fillId="17" borderId="70" xfId="2" applyFont="1" applyFill="1" applyBorder="1" applyAlignment="1">
      <alignment horizontal="center" vertical="top"/>
    </xf>
    <xf numFmtId="3" fontId="33" fillId="17" borderId="81" xfId="2" applyNumberFormat="1" applyFont="1" applyFill="1" applyBorder="1" applyAlignment="1">
      <alignment horizontal="center" vertical="top" wrapText="1"/>
    </xf>
    <xf numFmtId="3" fontId="41" fillId="17" borderId="81" xfId="2" applyNumberFormat="1" applyFont="1" applyFill="1" applyBorder="1" applyAlignment="1">
      <alignment vertical="top" wrapText="1"/>
    </xf>
    <xf numFmtId="0" fontId="35" fillId="17" borderId="66" xfId="0" applyFont="1" applyFill="1" applyBorder="1" applyAlignment="1">
      <alignment vertical="top"/>
    </xf>
    <xf numFmtId="0" fontId="35" fillId="17" borderId="72" xfId="0" applyFont="1" applyFill="1" applyBorder="1" applyAlignment="1"/>
    <xf numFmtId="0" fontId="35" fillId="0" borderId="72" xfId="0" applyFont="1" applyBorder="1" applyAlignment="1">
      <alignment horizontal="center" vertical="center"/>
    </xf>
    <xf numFmtId="0" fontId="16" fillId="0" borderId="64" xfId="0" applyFont="1" applyBorder="1" applyAlignment="1">
      <alignment horizontal="center" vertical="center" wrapText="1"/>
    </xf>
    <xf numFmtId="0" fontId="16" fillId="0" borderId="70" xfId="0" applyFont="1" applyBorder="1" applyAlignment="1">
      <alignment horizontal="center" vertical="center" wrapText="1"/>
    </xf>
    <xf numFmtId="0" fontId="35" fillId="0" borderId="66" xfId="0" applyFont="1" applyBorder="1" applyAlignment="1">
      <alignment vertical="center" wrapText="1"/>
    </xf>
    <xf numFmtId="0" fontId="35" fillId="0" borderId="33" xfId="0" applyFont="1" applyBorder="1" applyAlignment="1">
      <alignment wrapText="1"/>
    </xf>
    <xf numFmtId="3" fontId="33" fillId="0" borderId="72" xfId="2" applyNumberFormat="1" applyFont="1" applyFill="1" applyBorder="1" applyAlignment="1">
      <alignment horizontal="center" vertical="center" wrapText="1"/>
    </xf>
    <xf numFmtId="0" fontId="35" fillId="0" borderId="59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5" fillId="0" borderId="60" xfId="0" applyFont="1" applyFill="1" applyBorder="1" applyAlignment="1">
      <alignment horizontal="center" vertical="center"/>
    </xf>
    <xf numFmtId="0" fontId="16" fillId="0" borderId="64" xfId="0" applyFont="1" applyFill="1" applyBorder="1" applyAlignment="1">
      <alignment vertical="center"/>
    </xf>
    <xf numFmtId="0" fontId="16" fillId="0" borderId="70" xfId="0" applyFont="1" applyFill="1" applyBorder="1" applyAlignment="1">
      <alignment vertical="center"/>
    </xf>
    <xf numFmtId="0" fontId="33" fillId="0" borderId="62" xfId="0" applyFont="1" applyFill="1" applyBorder="1" applyAlignment="1">
      <alignment horizontal="center" vertical="center" wrapText="1"/>
    </xf>
    <xf numFmtId="0" fontId="33" fillId="0" borderId="66" xfId="0" applyFont="1" applyFill="1" applyBorder="1" applyAlignment="1">
      <alignment horizontal="center" vertical="center" wrapText="1"/>
    </xf>
    <xf numFmtId="0" fontId="33" fillId="0" borderId="72" xfId="0" applyFont="1" applyFill="1" applyBorder="1" applyAlignment="1">
      <alignment horizontal="center" vertical="center" wrapText="1"/>
    </xf>
    <xf numFmtId="0" fontId="35" fillId="0" borderId="43" xfId="0" applyFont="1" applyBorder="1" applyAlignment="1">
      <alignment horizontal="center" vertical="center" wrapText="1"/>
    </xf>
    <xf numFmtId="0" fontId="35" fillId="0" borderId="45" xfId="0" applyFont="1" applyBorder="1" applyAlignment="1">
      <alignment horizontal="center" vertical="center" wrapText="1"/>
    </xf>
    <xf numFmtId="0" fontId="33" fillId="0" borderId="81" xfId="2" applyFont="1" applyFill="1" applyBorder="1" applyAlignment="1">
      <alignment horizontal="center" vertical="center" wrapText="1"/>
    </xf>
    <xf numFmtId="0" fontId="35" fillId="0" borderId="8" xfId="0" applyFont="1" applyBorder="1" applyAlignment="1">
      <alignment wrapText="1"/>
    </xf>
    <xf numFmtId="0" fontId="16" fillId="0" borderId="50" xfId="0" applyFont="1" applyBorder="1"/>
    <xf numFmtId="0" fontId="18" fillId="0" borderId="25" xfId="0" applyFont="1" applyBorder="1" applyAlignment="1">
      <alignment horizontal="left" vertical="center"/>
    </xf>
    <xf numFmtId="0" fontId="18" fillId="0" borderId="138" xfId="0" applyFont="1" applyBorder="1" applyAlignment="1">
      <alignment horizontal="left" vertical="center"/>
    </xf>
    <xf numFmtId="0" fontId="5" fillId="22" borderId="6" xfId="2" applyFont="1" applyFill="1" applyBorder="1" applyAlignment="1">
      <alignment horizontal="center" vertical="center" wrapText="1"/>
    </xf>
    <xf numFmtId="0" fontId="5" fillId="22" borderId="10" xfId="2" applyFont="1" applyFill="1" applyBorder="1" applyAlignment="1">
      <alignment horizontal="center" vertical="center" wrapText="1"/>
    </xf>
    <xf numFmtId="0" fontId="5" fillId="22" borderId="15" xfId="2" applyFont="1" applyFill="1" applyBorder="1" applyAlignment="1">
      <alignment horizontal="center" vertical="center" wrapText="1"/>
    </xf>
    <xf numFmtId="0" fontId="32" fillId="2" borderId="14" xfId="2" applyFont="1" applyFill="1" applyBorder="1" applyAlignment="1">
      <alignment wrapText="1"/>
    </xf>
    <xf numFmtId="0" fontId="44" fillId="0" borderId="14" xfId="0" applyFont="1" applyBorder="1" applyAlignment="1">
      <alignment wrapText="1"/>
    </xf>
    <xf numFmtId="0" fontId="5" fillId="0" borderId="47" xfId="2" applyFont="1" applyBorder="1" applyAlignment="1">
      <alignment horizontal="center" vertical="center"/>
    </xf>
    <xf numFmtId="0" fontId="5" fillId="0" borderId="40" xfId="2" applyFont="1" applyBorder="1" applyAlignment="1">
      <alignment horizontal="center" vertical="center" wrapText="1"/>
    </xf>
    <xf numFmtId="0" fontId="33" fillId="0" borderId="105" xfId="2" applyFont="1" applyBorder="1" applyAlignment="1">
      <alignment horizontal="center" vertical="center" wrapText="1"/>
    </xf>
    <xf numFmtId="0" fontId="15" fillId="22" borderId="55" xfId="2" applyFont="1" applyFill="1" applyBorder="1" applyAlignment="1">
      <alignment horizontal="center" vertical="center" wrapText="1"/>
    </xf>
    <xf numFmtId="0" fontId="15" fillId="22" borderId="56" xfId="2" applyFont="1" applyFill="1" applyBorder="1" applyAlignment="1">
      <alignment horizontal="center" vertical="center" wrapText="1"/>
    </xf>
    <xf numFmtId="0" fontId="15" fillId="22" borderId="115" xfId="2" applyFont="1" applyFill="1" applyBorder="1" applyAlignment="1">
      <alignment horizontal="center" vertical="center" wrapText="1"/>
    </xf>
    <xf numFmtId="0" fontId="14" fillId="2" borderId="124" xfId="2" applyFont="1" applyFill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16" fillId="0" borderId="5" xfId="3" applyFont="1" applyBorder="1" applyAlignment="1">
      <alignment horizontal="center" vertical="center" wrapText="1"/>
    </xf>
    <xf numFmtId="0" fontId="16" fillId="0" borderId="35" xfId="3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15" fillId="0" borderId="5" xfId="2" applyFont="1" applyBorder="1" applyAlignment="1">
      <alignment horizontal="center" vertical="center" wrapText="1"/>
    </xf>
    <xf numFmtId="0" fontId="15" fillId="0" borderId="35" xfId="2" applyFont="1" applyBorder="1" applyAlignment="1">
      <alignment horizontal="center" vertical="center" wrapText="1"/>
    </xf>
    <xf numFmtId="0" fontId="5" fillId="22" borderId="23" xfId="2" applyFont="1" applyFill="1" applyBorder="1" applyAlignment="1">
      <alignment horizontal="center" vertical="center" wrapText="1"/>
    </xf>
    <xf numFmtId="0" fontId="18" fillId="22" borderId="3" xfId="3" applyFont="1" applyFill="1" applyBorder="1" applyAlignment="1">
      <alignment horizontal="center" vertical="center" wrapText="1"/>
    </xf>
    <xf numFmtId="0" fontId="18" fillId="22" borderId="13" xfId="3" applyFont="1" applyFill="1" applyBorder="1" applyAlignment="1">
      <alignment horizontal="center" vertical="center" wrapText="1"/>
    </xf>
    <xf numFmtId="0" fontId="15" fillId="22" borderId="129" xfId="2" applyFont="1" applyFill="1" applyBorder="1" applyAlignment="1">
      <alignment horizontal="center" vertical="center" wrapText="1"/>
    </xf>
    <xf numFmtId="0" fontId="15" fillId="22" borderId="12" xfId="2" applyFont="1" applyFill="1" applyBorder="1" applyAlignment="1">
      <alignment horizontal="center" vertical="center" wrapText="1"/>
    </xf>
    <xf numFmtId="0" fontId="15" fillId="22" borderId="17" xfId="2" applyFont="1" applyFill="1" applyBorder="1" applyAlignment="1">
      <alignment horizontal="center" vertical="center" wrapText="1"/>
    </xf>
    <xf numFmtId="0" fontId="15" fillId="22" borderId="5" xfId="2" applyFont="1" applyFill="1" applyBorder="1" applyAlignment="1">
      <alignment horizontal="center" vertical="center" wrapText="1"/>
    </xf>
    <xf numFmtId="0" fontId="5" fillId="0" borderId="5" xfId="2" applyFont="1" applyFill="1" applyBorder="1" applyAlignment="1">
      <alignment horizontal="center" vertical="center" wrapText="1"/>
    </xf>
    <xf numFmtId="0" fontId="34" fillId="0" borderId="58" xfId="2" applyFont="1" applyBorder="1" applyAlignment="1">
      <alignment horizontal="center" vertical="center" wrapText="1"/>
    </xf>
    <xf numFmtId="0" fontId="34" fillId="0" borderId="2" xfId="2" applyFont="1" applyBorder="1" applyAlignment="1">
      <alignment horizontal="center" vertical="center" wrapText="1"/>
    </xf>
    <xf numFmtId="0" fontId="5" fillId="0" borderId="82" xfId="2" quotePrefix="1" applyFont="1" applyFill="1" applyBorder="1" applyAlignment="1">
      <alignment horizontal="center" vertical="center"/>
    </xf>
    <xf numFmtId="0" fontId="34" fillId="0" borderId="81" xfId="2" applyFont="1" applyFill="1" applyBorder="1" applyAlignment="1">
      <alignment horizontal="center" vertical="center" wrapText="1"/>
    </xf>
    <xf numFmtId="0" fontId="34" fillId="0" borderId="66" xfId="2" applyFont="1" applyFill="1" applyBorder="1" applyAlignment="1">
      <alignment horizontal="center" vertical="center" wrapText="1"/>
    </xf>
    <xf numFmtId="0" fontId="36" fillId="0" borderId="66" xfId="0" applyFont="1" applyBorder="1" applyAlignment="1">
      <alignment horizontal="center" vertical="center" wrapText="1"/>
    </xf>
    <xf numFmtId="0" fontId="36" fillId="0" borderId="66" xfId="0" applyFont="1" applyFill="1" applyBorder="1" applyAlignment="1">
      <alignment horizontal="center" vertical="center" wrapText="1"/>
    </xf>
    <xf numFmtId="0" fontId="36" fillId="0" borderId="103" xfId="0" applyFont="1" applyFill="1" applyBorder="1" applyAlignment="1">
      <alignment horizontal="center" vertical="center" wrapText="1"/>
    </xf>
    <xf numFmtId="0" fontId="36" fillId="0" borderId="33" xfId="0" applyFont="1" applyFill="1" applyBorder="1" applyAlignment="1">
      <alignment horizontal="center" vertical="center" wrapText="1"/>
    </xf>
    <xf numFmtId="0" fontId="5" fillId="5" borderId="19" xfId="2" applyFont="1" applyFill="1" applyBorder="1" applyAlignment="1">
      <alignment horizontal="center" vertical="top"/>
    </xf>
    <xf numFmtId="0" fontId="16" fillId="0" borderId="9" xfId="0" applyFont="1" applyBorder="1" applyAlignment="1">
      <alignment horizontal="center" vertical="top"/>
    </xf>
    <xf numFmtId="0" fontId="16" fillId="0" borderId="13" xfId="0" applyFont="1" applyBorder="1" applyAlignment="1">
      <alignment horizontal="center" vertical="top"/>
    </xf>
    <xf numFmtId="3" fontId="33" fillId="5" borderId="84" xfId="2" applyNumberFormat="1" applyFont="1" applyFill="1" applyBorder="1" applyAlignment="1">
      <alignment horizontal="center" vertical="top"/>
    </xf>
    <xf numFmtId="0" fontId="35" fillId="0" borderId="8" xfId="0" applyFont="1" applyBorder="1" applyAlignment="1">
      <alignment horizontal="center" vertical="top"/>
    </xf>
    <xf numFmtId="0" fontId="35" fillId="0" borderId="33" xfId="0" applyFont="1" applyBorder="1" applyAlignment="1">
      <alignment horizontal="center" vertical="top"/>
    </xf>
    <xf numFmtId="3" fontId="41" fillId="5" borderId="103" xfId="2" applyNumberFormat="1" applyFont="1" applyFill="1" applyBorder="1" applyAlignment="1">
      <alignment vertical="top" wrapText="1"/>
    </xf>
    <xf numFmtId="0" fontId="35" fillId="0" borderId="8" xfId="0" applyFont="1" applyBorder="1" applyAlignment="1">
      <alignment vertical="top"/>
    </xf>
    <xf numFmtId="0" fontId="35" fillId="0" borderId="81" xfId="0" applyFont="1" applyBorder="1" applyAlignment="1">
      <alignment vertical="top"/>
    </xf>
    <xf numFmtId="3" fontId="30" fillId="5" borderId="103" xfId="2" applyNumberFormat="1" applyFont="1" applyFill="1" applyBorder="1" applyAlignment="1">
      <alignment vertical="top" wrapText="1"/>
    </xf>
    <xf numFmtId="0" fontId="35" fillId="0" borderId="8" xfId="0" applyFont="1" applyBorder="1" applyAlignment="1"/>
    <xf numFmtId="0" fontId="35" fillId="0" borderId="33" xfId="0" applyFont="1" applyBorder="1" applyAlignment="1"/>
    <xf numFmtId="0" fontId="34" fillId="0" borderId="62" xfId="2" applyFont="1" applyFill="1" applyBorder="1" applyAlignment="1">
      <alignment horizontal="center" vertical="center" wrapText="1"/>
    </xf>
    <xf numFmtId="0" fontId="36" fillId="0" borderId="72" xfId="0" applyFont="1" applyBorder="1" applyAlignment="1">
      <alignment horizontal="center" vertical="center" wrapText="1"/>
    </xf>
    <xf numFmtId="0" fontId="36" fillId="0" borderId="66" xfId="0" applyFont="1" applyFill="1" applyBorder="1" applyAlignment="1">
      <alignment horizontal="center" wrapText="1"/>
    </xf>
    <xf numFmtId="0" fontId="36" fillId="0" borderId="72" xfId="0" applyFont="1" applyFill="1" applyBorder="1" applyAlignment="1">
      <alignment horizontal="center" wrapText="1"/>
    </xf>
    <xf numFmtId="0" fontId="5" fillId="0" borderId="60" xfId="2" quotePrefix="1" applyFont="1" applyFill="1" applyBorder="1" applyAlignment="1">
      <alignment horizontal="center" vertical="center" wrapText="1"/>
    </xf>
    <xf numFmtId="0" fontId="20" fillId="2" borderId="8" xfId="2" applyFont="1" applyFill="1" applyBorder="1" applyAlignment="1">
      <alignment horizontal="center" vertical="center" wrapText="1"/>
    </xf>
    <xf numFmtId="3" fontId="20" fillId="0" borderId="66" xfId="2" applyNumberFormat="1" applyFont="1" applyFill="1" applyBorder="1" applyAlignment="1">
      <alignment horizontal="center" vertical="center" wrapText="1"/>
    </xf>
    <xf numFmtId="0" fontId="35" fillId="0" borderId="66" xfId="0" applyFont="1" applyFill="1" applyBorder="1" applyAlignment="1">
      <alignment horizontal="center" vertical="center" wrapText="1"/>
    </xf>
    <xf numFmtId="0" fontId="20" fillId="0" borderId="66" xfId="2" applyFont="1" applyFill="1" applyBorder="1" applyAlignment="1">
      <alignment horizontal="center" vertical="center" wrapText="1"/>
    </xf>
    <xf numFmtId="0" fontId="35" fillId="0" borderId="66" xfId="0" applyFont="1" applyFill="1" applyBorder="1" applyAlignment="1">
      <alignment wrapText="1"/>
    </xf>
    <xf numFmtId="0" fontId="35" fillId="0" borderId="72" xfId="0" applyFont="1" applyFill="1" applyBorder="1" applyAlignment="1">
      <alignment wrapText="1"/>
    </xf>
    <xf numFmtId="0" fontId="16" fillId="0" borderId="0" xfId="0" applyFont="1" applyBorder="1"/>
    <xf numFmtId="0" fontId="34" fillId="0" borderId="72" xfId="2" applyFont="1" applyFill="1" applyBorder="1" applyAlignment="1">
      <alignment horizontal="center" vertical="center" wrapText="1"/>
    </xf>
    <xf numFmtId="0" fontId="36" fillId="0" borderId="72" xfId="0" applyFont="1" applyFill="1" applyBorder="1" applyAlignment="1">
      <alignment horizontal="center" vertical="center" wrapText="1"/>
    </xf>
    <xf numFmtId="0" fontId="32" fillId="2" borderId="14" xfId="0" applyFont="1" applyFill="1" applyBorder="1" applyAlignment="1">
      <alignment vertical="top"/>
    </xf>
    <xf numFmtId="0" fontId="44" fillId="0" borderId="14" xfId="0" applyFont="1" applyBorder="1" applyAlignment="1">
      <alignment vertical="top"/>
    </xf>
    <xf numFmtId="0" fontId="34" fillId="0" borderId="53" xfId="0" applyFont="1" applyFill="1" applyBorder="1" applyAlignment="1">
      <alignment horizontal="center" vertical="center"/>
    </xf>
    <xf numFmtId="0" fontId="34" fillId="0" borderId="23" xfId="0" applyFont="1" applyFill="1" applyBorder="1" applyAlignment="1">
      <alignment horizontal="center" vertical="center"/>
    </xf>
    <xf numFmtId="0" fontId="34" fillId="0" borderId="34" xfId="0" applyFont="1" applyFill="1" applyBorder="1" applyAlignment="1">
      <alignment horizontal="center" vertical="center"/>
    </xf>
    <xf numFmtId="0" fontId="34" fillId="0" borderId="54" xfId="0" applyFont="1" applyFill="1" applyBorder="1" applyAlignment="1">
      <alignment horizontal="center" vertical="center" wrapText="1"/>
    </xf>
    <xf numFmtId="0" fontId="34" fillId="0" borderId="5" xfId="0" applyFont="1" applyFill="1" applyBorder="1" applyAlignment="1">
      <alignment horizontal="center" vertical="center" wrapText="1"/>
    </xf>
    <xf numFmtId="0" fontId="34" fillId="0" borderId="35" xfId="0" applyFont="1" applyFill="1" applyBorder="1" applyAlignment="1">
      <alignment horizontal="center" vertical="center" wrapText="1"/>
    </xf>
    <xf numFmtId="0" fontId="33" fillId="0" borderId="18" xfId="2" applyFont="1" applyFill="1" applyBorder="1" applyAlignment="1">
      <alignment horizontal="center" vertical="center" wrapText="1"/>
    </xf>
    <xf numFmtId="0" fontId="33" fillId="0" borderId="58" xfId="2" applyFont="1" applyFill="1" applyBorder="1" applyAlignment="1">
      <alignment horizontal="center" vertical="center" wrapText="1"/>
    </xf>
    <xf numFmtId="0" fontId="33" fillId="0" borderId="113" xfId="2" applyFont="1" applyFill="1" applyBorder="1" applyAlignment="1">
      <alignment horizontal="center" vertical="center" wrapText="1"/>
    </xf>
    <xf numFmtId="0" fontId="5" fillId="5" borderId="53" xfId="0" applyFont="1" applyFill="1" applyBorder="1" applyAlignment="1">
      <alignment vertical="top"/>
    </xf>
    <xf numFmtId="0" fontId="16" fillId="0" borderId="23" xfId="0" applyFont="1" applyBorder="1" applyAlignment="1"/>
    <xf numFmtId="0" fontId="16" fillId="0" borderId="34" xfId="0" applyFont="1" applyBorder="1" applyAlignment="1"/>
    <xf numFmtId="3" fontId="33" fillId="5" borderId="18" xfId="0" applyNumberFormat="1" applyFont="1" applyFill="1" applyBorder="1" applyAlignment="1">
      <alignment horizontal="center" vertical="top" wrapText="1"/>
    </xf>
    <xf numFmtId="0" fontId="16" fillId="0" borderId="58" xfId="0" applyFont="1" applyBorder="1" applyAlignment="1">
      <alignment horizontal="center" wrapText="1"/>
    </xf>
    <xf numFmtId="0" fontId="16" fillId="0" borderId="113" xfId="0" applyFont="1" applyBorder="1" applyAlignment="1">
      <alignment horizontal="center" wrapText="1"/>
    </xf>
    <xf numFmtId="0" fontId="20" fillId="5" borderId="77" xfId="0" applyFont="1" applyFill="1" applyBorder="1" applyAlignment="1">
      <alignment vertical="center" wrapText="1"/>
    </xf>
    <xf numFmtId="0" fontId="20" fillId="5" borderId="59" xfId="0" applyFont="1" applyFill="1" applyBorder="1" applyAlignment="1">
      <alignment vertical="center" wrapText="1"/>
    </xf>
    <xf numFmtId="0" fontId="35" fillId="0" borderId="58" xfId="0" applyFont="1" applyBorder="1" applyAlignment="1"/>
    <xf numFmtId="0" fontId="35" fillId="0" borderId="88" xfId="0" applyFont="1" applyBorder="1" applyAlignment="1"/>
    <xf numFmtId="0" fontId="20" fillId="16" borderId="77" xfId="0" applyFont="1" applyFill="1" applyBorder="1" applyAlignment="1">
      <alignment vertical="center" wrapText="1"/>
    </xf>
    <xf numFmtId="0" fontId="35" fillId="16" borderId="58" xfId="0" applyFont="1" applyFill="1" applyBorder="1" applyAlignment="1"/>
    <xf numFmtId="0" fontId="35" fillId="16" borderId="113" xfId="0" applyFont="1" applyFill="1" applyBorder="1" applyAlignment="1"/>
    <xf numFmtId="0" fontId="5" fillId="0" borderId="53" xfId="0" quotePrefix="1" applyFont="1" applyFill="1" applyBorder="1" applyAlignment="1">
      <alignment horizontal="center" vertical="center" wrapText="1"/>
    </xf>
    <xf numFmtId="0" fontId="5" fillId="0" borderId="23" xfId="0" quotePrefix="1" applyFont="1" applyFill="1" applyBorder="1" applyAlignment="1">
      <alignment horizontal="center" vertical="center" wrapText="1"/>
    </xf>
    <xf numFmtId="0" fontId="5" fillId="0" borderId="34" xfId="0" quotePrefix="1" applyFont="1" applyFill="1" applyBorder="1" applyAlignment="1">
      <alignment horizontal="center" vertical="center" wrapText="1"/>
    </xf>
    <xf numFmtId="0" fontId="34" fillId="0" borderId="18" xfId="0" applyFont="1" applyFill="1" applyBorder="1" applyAlignment="1">
      <alignment horizontal="center" vertical="center" wrapText="1"/>
    </xf>
    <xf numFmtId="0" fontId="34" fillId="0" borderId="58" xfId="0" applyFont="1" applyFill="1" applyBorder="1" applyAlignment="1">
      <alignment horizontal="center" vertical="center" wrapText="1"/>
    </xf>
    <xf numFmtId="0" fontId="18" fillId="0" borderId="58" xfId="0" applyFont="1" applyBorder="1" applyAlignment="1">
      <alignment horizontal="center" wrapText="1"/>
    </xf>
    <xf numFmtId="0" fontId="18" fillId="0" borderId="113" xfId="0" applyFont="1" applyBorder="1" applyAlignment="1">
      <alignment horizontal="center" wrapText="1"/>
    </xf>
    <xf numFmtId="0" fontId="34" fillId="0" borderId="77" xfId="0" applyFont="1" applyFill="1" applyBorder="1" applyAlignment="1">
      <alignment horizontal="center" vertical="center" wrapText="1"/>
    </xf>
    <xf numFmtId="0" fontId="36" fillId="0" borderId="58" xfId="0" applyFont="1" applyBorder="1" applyAlignment="1">
      <alignment horizontal="center" vertical="center" wrapText="1"/>
    </xf>
    <xf numFmtId="0" fontId="36" fillId="0" borderId="88" xfId="0" applyFont="1" applyBorder="1" applyAlignment="1">
      <alignment horizontal="center" vertical="center" wrapText="1"/>
    </xf>
    <xf numFmtId="0" fontId="36" fillId="0" borderId="77" xfId="0" applyFont="1" applyBorder="1" applyAlignment="1">
      <alignment horizontal="center" vertical="center" wrapText="1"/>
    </xf>
    <xf numFmtId="0" fontId="36" fillId="0" borderId="113" xfId="0" applyFont="1" applyBorder="1" applyAlignment="1">
      <alignment horizontal="center" vertical="center" wrapText="1"/>
    </xf>
    <xf numFmtId="0" fontId="5" fillId="2" borderId="53" xfId="0" quotePrefix="1" applyFont="1" applyFill="1" applyBorder="1" applyAlignment="1">
      <alignment horizontal="center" vertical="center" wrapText="1"/>
    </xf>
    <xf numFmtId="0" fontId="5" fillId="2" borderId="23" xfId="0" quotePrefix="1" applyFont="1" applyFill="1" applyBorder="1" applyAlignment="1">
      <alignment horizontal="center" vertical="center" wrapText="1"/>
    </xf>
    <xf numFmtId="0" fontId="5" fillId="2" borderId="34" xfId="0" quotePrefix="1" applyFont="1" applyFill="1" applyBorder="1" applyAlignment="1">
      <alignment horizontal="center" vertical="center" wrapText="1"/>
    </xf>
    <xf numFmtId="0" fontId="34" fillId="2" borderId="77" xfId="0" applyFont="1" applyFill="1" applyBorder="1" applyAlignment="1">
      <alignment horizontal="center" vertical="center" wrapText="1"/>
    </xf>
    <xf numFmtId="0" fontId="36" fillId="2" borderId="58" xfId="0" applyFont="1" applyFill="1" applyBorder="1" applyAlignment="1">
      <alignment horizontal="center" vertical="center" wrapText="1"/>
    </xf>
    <xf numFmtId="0" fontId="36" fillId="2" borderId="2" xfId="0" applyFont="1" applyFill="1" applyBorder="1" applyAlignment="1">
      <alignment horizontal="center" vertical="center" wrapText="1"/>
    </xf>
    <xf numFmtId="0" fontId="34" fillId="2" borderId="59" xfId="0" applyFont="1" applyFill="1" applyBorder="1" applyAlignment="1">
      <alignment horizontal="center" vertical="center" wrapText="1"/>
    </xf>
    <xf numFmtId="0" fontId="34" fillId="2" borderId="58" xfId="0" applyFont="1" applyFill="1" applyBorder="1" applyAlignment="1">
      <alignment horizontal="center" vertical="center" wrapText="1"/>
    </xf>
    <xf numFmtId="0" fontId="34" fillId="2" borderId="113" xfId="0" applyFont="1" applyFill="1" applyBorder="1" applyAlignment="1">
      <alignment horizontal="center" vertical="center" wrapText="1"/>
    </xf>
    <xf numFmtId="0" fontId="5" fillId="0" borderId="64" xfId="0" applyFont="1" applyFill="1" applyBorder="1" applyAlignment="1">
      <alignment horizontal="center" vertical="center"/>
    </xf>
    <xf numFmtId="0" fontId="5" fillId="0" borderId="70" xfId="0" applyFont="1" applyFill="1" applyBorder="1" applyAlignment="1">
      <alignment horizontal="center" vertical="center"/>
    </xf>
    <xf numFmtId="0" fontId="20" fillId="2" borderId="66" xfId="0" applyFont="1" applyFill="1" applyBorder="1" applyAlignment="1">
      <alignment horizontal="center" vertical="center" wrapText="1"/>
    </xf>
    <xf numFmtId="0" fontId="36" fillId="2" borderId="72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left" vertical="center" wrapText="1"/>
    </xf>
    <xf numFmtId="0" fontId="30" fillId="2" borderId="21" xfId="0" applyFont="1" applyFill="1" applyBorder="1" applyAlignment="1">
      <alignment horizontal="left" vertical="center" wrapText="1"/>
    </xf>
    <xf numFmtId="3" fontId="20" fillId="2" borderId="5" xfId="2" applyNumberFormat="1" applyFont="1" applyFill="1" applyBorder="1" applyAlignment="1">
      <alignment horizontal="center" vertical="center" wrapText="1"/>
    </xf>
    <xf numFmtId="0" fontId="35" fillId="0" borderId="35" xfId="0" applyFont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33" fillId="0" borderId="95" xfId="0" applyFont="1" applyFill="1" applyBorder="1" applyAlignment="1">
      <alignment horizontal="center" vertical="center" wrapText="1"/>
    </xf>
    <xf numFmtId="0" fontId="33" fillId="0" borderId="96" xfId="0" applyFont="1" applyFill="1" applyBorder="1" applyAlignment="1">
      <alignment horizontal="center" vertical="center" wrapText="1"/>
    </xf>
    <xf numFmtId="0" fontId="33" fillId="0" borderId="100" xfId="0" applyFont="1" applyFill="1" applyBorder="1" applyAlignment="1">
      <alignment horizontal="center" vertical="center" wrapText="1"/>
    </xf>
    <xf numFmtId="3" fontId="20" fillId="16" borderId="25" xfId="2" applyNumberFormat="1" applyFont="1" applyFill="1" applyBorder="1" applyAlignment="1">
      <alignment horizontal="center" vertical="center" wrapText="1"/>
    </xf>
    <xf numFmtId="0" fontId="35" fillId="16" borderId="25" xfId="0" applyFont="1" applyFill="1" applyBorder="1" applyAlignment="1">
      <alignment horizontal="center" vertical="center"/>
    </xf>
    <xf numFmtId="0" fontId="35" fillId="16" borderId="114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top"/>
    </xf>
    <xf numFmtId="0" fontId="5" fillId="5" borderId="13" xfId="0" applyFont="1" applyFill="1" applyBorder="1" applyAlignment="1">
      <alignment horizontal="center" vertical="top"/>
    </xf>
    <xf numFmtId="3" fontId="15" fillId="5" borderId="59" xfId="0" applyNumberFormat="1" applyFont="1" applyFill="1" applyBorder="1" applyAlignment="1">
      <alignment horizontal="center" vertical="center" wrapText="1"/>
    </xf>
    <xf numFmtId="3" fontId="15" fillId="5" borderId="58" xfId="0" applyNumberFormat="1" applyFont="1" applyFill="1" applyBorder="1" applyAlignment="1">
      <alignment horizontal="center" vertical="center" wrapText="1"/>
    </xf>
    <xf numFmtId="3" fontId="15" fillId="5" borderId="2" xfId="0" applyNumberFormat="1" applyFont="1" applyFill="1" applyBorder="1" applyAlignment="1">
      <alignment horizontal="center" vertical="center" wrapText="1"/>
    </xf>
    <xf numFmtId="3" fontId="15" fillId="5" borderId="113" xfId="0" applyNumberFormat="1" applyFont="1" applyFill="1" applyBorder="1" applyAlignment="1">
      <alignment horizontal="center" vertical="center" wrapText="1"/>
    </xf>
    <xf numFmtId="0" fontId="5" fillId="0" borderId="53" xfId="0" applyFont="1" applyFill="1" applyBorder="1" applyAlignment="1">
      <alignment horizontal="center" vertical="center" wrapText="1"/>
    </xf>
    <xf numFmtId="0" fontId="16" fillId="0" borderId="23" xfId="0" applyFont="1" applyBorder="1" applyAlignment="1">
      <alignment vertical="center" wrapText="1"/>
    </xf>
    <xf numFmtId="0" fontId="16" fillId="0" borderId="34" xfId="0" applyFont="1" applyBorder="1" applyAlignment="1">
      <alignment vertical="center" wrapText="1"/>
    </xf>
    <xf numFmtId="0" fontId="33" fillId="0" borderId="18" xfId="0" applyFont="1" applyFill="1" applyBorder="1" applyAlignment="1">
      <alignment horizontal="center" vertical="center" wrapText="1"/>
    </xf>
    <xf numFmtId="0" fontId="33" fillId="0" borderId="58" xfId="0" applyFont="1" applyFill="1" applyBorder="1" applyAlignment="1">
      <alignment horizontal="center" vertical="center" wrapText="1"/>
    </xf>
    <xf numFmtId="0" fontId="33" fillId="0" borderId="113" xfId="0" applyFont="1" applyFill="1" applyBorder="1" applyAlignment="1">
      <alignment horizontal="center" vertical="center" wrapText="1"/>
    </xf>
    <xf numFmtId="3" fontId="20" fillId="2" borderId="77" xfId="2" applyNumberFormat="1" applyFont="1" applyFill="1" applyBorder="1" applyAlignment="1">
      <alignment horizontal="center" vertical="center" wrapText="1"/>
    </xf>
    <xf numFmtId="0" fontId="35" fillId="0" borderId="58" xfId="0" applyFont="1" applyBorder="1" applyAlignment="1">
      <alignment horizontal="center" vertical="center" wrapText="1"/>
    </xf>
    <xf numFmtId="0" fontId="35" fillId="0" borderId="113" xfId="0" applyFont="1" applyBorder="1" applyAlignment="1">
      <alignment horizontal="center" vertical="center" wrapText="1"/>
    </xf>
    <xf numFmtId="0" fontId="20" fillId="2" borderId="77" xfId="2" applyFont="1" applyFill="1" applyBorder="1" applyAlignment="1">
      <alignment horizontal="center" vertical="center" wrapText="1" shrinkToFit="1"/>
    </xf>
    <xf numFmtId="0" fontId="35" fillId="2" borderId="113" xfId="0" applyFont="1" applyFill="1" applyBorder="1" applyAlignment="1">
      <alignment horizontal="center" vertical="center" wrapText="1" shrinkToFit="1"/>
    </xf>
    <xf numFmtId="0" fontId="35" fillId="0" borderId="5" xfId="0" applyFont="1" applyBorder="1" applyAlignment="1">
      <alignment horizontal="center" vertical="center"/>
    </xf>
    <xf numFmtId="0" fontId="32" fillId="2" borderId="47" xfId="0" applyFont="1" applyFill="1" applyBorder="1" applyAlignment="1">
      <alignment horizontal="left" vertical="center" wrapText="1"/>
    </xf>
    <xf numFmtId="0" fontId="32" fillId="2" borderId="37" xfId="0" applyFont="1" applyFill="1" applyBorder="1" applyAlignment="1">
      <alignment horizontal="left" vertical="center" wrapText="1"/>
    </xf>
    <xf numFmtId="0" fontId="44" fillId="0" borderId="105" xfId="0" applyFont="1" applyBorder="1" applyAlignment="1">
      <alignment vertical="center"/>
    </xf>
    <xf numFmtId="0" fontId="5" fillId="11" borderId="19" xfId="0" applyFont="1" applyFill="1" applyBorder="1" applyAlignment="1">
      <alignment vertical="top"/>
    </xf>
    <xf numFmtId="0" fontId="16" fillId="0" borderId="9" xfId="0" applyFont="1" applyBorder="1" applyAlignment="1"/>
    <xf numFmtId="0" fontId="16" fillId="0" borderId="13" xfId="0" applyFont="1" applyBorder="1" applyAlignment="1"/>
    <xf numFmtId="3" fontId="15" fillId="11" borderId="62" xfId="0" applyNumberFormat="1" applyFont="1" applyFill="1" applyBorder="1" applyAlignment="1">
      <alignment horizontal="center" vertical="center" wrapText="1"/>
    </xf>
    <xf numFmtId="3" fontId="15" fillId="11" borderId="66" xfId="0" applyNumberFormat="1" applyFont="1" applyFill="1" applyBorder="1" applyAlignment="1">
      <alignment horizontal="center" vertical="center" wrapText="1"/>
    </xf>
    <xf numFmtId="3" fontId="15" fillId="11" borderId="72" xfId="0" applyNumberFormat="1" applyFont="1" applyFill="1" applyBorder="1" applyAlignment="1">
      <alignment horizontal="center" vertical="center" wrapText="1"/>
    </xf>
    <xf numFmtId="0" fontId="20" fillId="5" borderId="66" xfId="0" applyFont="1" applyFill="1" applyBorder="1" applyAlignment="1">
      <alignment horizontal="center" vertical="center" wrapText="1"/>
    </xf>
    <xf numFmtId="0" fontId="20" fillId="5" borderId="72" xfId="0" applyFont="1" applyFill="1" applyBorder="1" applyAlignment="1">
      <alignment horizontal="center" vertical="center" wrapText="1"/>
    </xf>
    <xf numFmtId="0" fontId="16" fillId="0" borderId="9" xfId="0" applyFont="1" applyBorder="1" applyAlignment="1">
      <alignment vertical="center" wrapText="1"/>
    </xf>
    <xf numFmtId="0" fontId="16" fillId="0" borderId="13" xfId="0" applyFont="1" applyBorder="1" applyAlignment="1">
      <alignment vertical="center" wrapText="1"/>
    </xf>
    <xf numFmtId="0" fontId="33" fillId="0" borderId="84" xfId="0" applyFont="1" applyFill="1" applyBorder="1" applyAlignment="1">
      <alignment horizontal="center" vertical="center" wrapText="1"/>
    </xf>
    <xf numFmtId="0" fontId="33" fillId="0" borderId="8" xfId="0" applyFont="1" applyFill="1" applyBorder="1" applyAlignment="1">
      <alignment horizontal="center" vertical="center" wrapText="1"/>
    </xf>
    <xf numFmtId="0" fontId="33" fillId="0" borderId="33" xfId="0" applyFont="1" applyFill="1" applyBorder="1" applyAlignment="1">
      <alignment horizontal="center" vertical="center" wrapText="1"/>
    </xf>
    <xf numFmtId="0" fontId="35" fillId="0" borderId="88" xfId="0" applyFont="1" applyBorder="1" applyAlignment="1">
      <alignment horizontal="center" vertical="center" wrapText="1"/>
    </xf>
    <xf numFmtId="0" fontId="20" fillId="2" borderId="77" xfId="2" applyFont="1" applyFill="1" applyBorder="1" applyAlignment="1">
      <alignment horizontal="center" vertical="center" wrapText="1"/>
    </xf>
    <xf numFmtId="0" fontId="32" fillId="2" borderId="16" xfId="0" applyFont="1" applyFill="1" applyBorder="1" applyAlignment="1">
      <alignment horizontal="left" vertical="top" wrapText="1"/>
    </xf>
    <xf numFmtId="0" fontId="32" fillId="2" borderId="15" xfId="0" applyFont="1" applyFill="1" applyBorder="1" applyAlignment="1">
      <alignment horizontal="left" vertical="top" wrapText="1"/>
    </xf>
    <xf numFmtId="0" fontId="44" fillId="0" borderId="17" xfId="0" applyFont="1" applyBorder="1" applyAlignment="1">
      <alignment vertical="top"/>
    </xf>
    <xf numFmtId="0" fontId="15" fillId="0" borderId="53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34" xfId="0" applyFont="1" applyFill="1" applyBorder="1" applyAlignment="1">
      <alignment horizontal="center" vertical="center"/>
    </xf>
    <xf numFmtId="0" fontId="15" fillId="0" borderId="5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5" fillId="15" borderId="6" xfId="2" applyFont="1" applyFill="1" applyBorder="1" applyAlignment="1">
      <alignment horizontal="center" vertical="center" wrapText="1"/>
    </xf>
    <xf numFmtId="0" fontId="5" fillId="15" borderId="15" xfId="2" applyFont="1" applyFill="1" applyBorder="1" applyAlignment="1">
      <alignment horizontal="center" vertical="center" wrapText="1"/>
    </xf>
    <xf numFmtId="0" fontId="34" fillId="0" borderId="135" xfId="0" applyFont="1" applyFill="1" applyBorder="1" applyAlignment="1">
      <alignment horizontal="center" vertical="center" wrapText="1"/>
    </xf>
    <xf numFmtId="0" fontId="36" fillId="0" borderId="68" xfId="0" applyFont="1" applyBorder="1" applyAlignment="1">
      <alignment horizontal="center" wrapText="1"/>
    </xf>
    <xf numFmtId="0" fontId="36" fillId="0" borderId="90" xfId="0" applyFont="1" applyBorder="1" applyAlignment="1">
      <alignment horizontal="center" wrapText="1"/>
    </xf>
    <xf numFmtId="0" fontId="34" fillId="15" borderId="81" xfId="0" applyFont="1" applyFill="1" applyBorder="1" applyAlignment="1">
      <alignment horizontal="center" vertical="center" wrapText="1"/>
    </xf>
    <xf numFmtId="0" fontId="36" fillId="15" borderId="66" xfId="0" applyFont="1" applyFill="1" applyBorder="1" applyAlignment="1">
      <alignment horizontal="center" wrapText="1"/>
    </xf>
    <xf numFmtId="0" fontId="36" fillId="15" borderId="72" xfId="0" applyFont="1" applyFill="1" applyBorder="1" applyAlignment="1">
      <alignment horizontal="center" wrapText="1"/>
    </xf>
    <xf numFmtId="0" fontId="36" fillId="0" borderId="84" xfId="0" applyFont="1" applyBorder="1" applyAlignment="1">
      <alignment horizontal="center" vertical="center" wrapText="1"/>
    </xf>
    <xf numFmtId="0" fontId="34" fillId="0" borderId="60" xfId="0" applyFont="1" applyFill="1" applyBorder="1" applyAlignment="1">
      <alignment horizontal="center" vertical="center"/>
    </xf>
    <xf numFmtId="0" fontId="34" fillId="0" borderId="64" xfId="0" applyFont="1" applyFill="1" applyBorder="1" applyAlignment="1">
      <alignment horizontal="center" vertical="center"/>
    </xf>
    <xf numFmtId="0" fontId="16" fillId="0" borderId="78" xfId="0" applyFont="1" applyBorder="1" applyAlignment="1">
      <alignment horizontal="center" vertical="center"/>
    </xf>
    <xf numFmtId="0" fontId="34" fillId="2" borderId="81" xfId="0" applyFont="1" applyFill="1" applyBorder="1" applyAlignment="1">
      <alignment horizontal="center" vertical="center" wrapText="1"/>
    </xf>
    <xf numFmtId="0" fontId="36" fillId="2" borderId="66" xfId="0" applyFont="1" applyFill="1" applyBorder="1" applyAlignment="1">
      <alignment horizontal="center" wrapText="1"/>
    </xf>
    <xf numFmtId="0" fontId="36" fillId="2" borderId="72" xfId="0" applyFont="1" applyFill="1" applyBorder="1" applyAlignment="1">
      <alignment horizontal="center" wrapText="1"/>
    </xf>
    <xf numFmtId="0" fontId="34" fillId="0" borderId="62" xfId="0" applyFont="1" applyFill="1" applyBorder="1" applyAlignment="1">
      <alignment horizontal="center" vertical="center" wrapText="1"/>
    </xf>
    <xf numFmtId="0" fontId="36" fillId="0" borderId="66" xfId="0" applyFont="1" applyBorder="1" applyAlignment="1">
      <alignment horizontal="center" wrapText="1"/>
    </xf>
    <xf numFmtId="0" fontId="36" fillId="0" borderId="72" xfId="0" applyFont="1" applyBorder="1" applyAlignment="1">
      <alignment horizontal="center" wrapText="1"/>
    </xf>
    <xf numFmtId="0" fontId="34" fillId="0" borderId="60" xfId="0" quotePrefix="1" applyFont="1" applyFill="1" applyBorder="1" applyAlignment="1">
      <alignment horizontal="center" vertical="center"/>
    </xf>
    <xf numFmtId="0" fontId="34" fillId="0" borderId="70" xfId="0" applyFont="1" applyFill="1" applyBorder="1" applyAlignment="1">
      <alignment horizontal="center" vertical="center"/>
    </xf>
    <xf numFmtId="0" fontId="34" fillId="0" borderId="84" xfId="0" applyFont="1" applyFill="1" applyBorder="1" applyAlignment="1">
      <alignment horizontal="center" vertical="center" wrapText="1"/>
    </xf>
    <xf numFmtId="0" fontId="20" fillId="0" borderId="66" xfId="0" applyFont="1" applyFill="1" applyBorder="1" applyAlignment="1">
      <alignment horizontal="center" vertical="center" wrapText="1"/>
    </xf>
    <xf numFmtId="0" fontId="32" fillId="2" borderId="14" xfId="0" applyFont="1" applyFill="1" applyBorder="1" applyAlignment="1">
      <alignment vertical="center" wrapText="1"/>
    </xf>
    <xf numFmtId="0" fontId="52" fillId="0" borderId="42" xfId="0" applyFont="1" applyFill="1" applyBorder="1" applyAlignment="1">
      <alignment horizontal="center" vertical="center" wrapText="1"/>
    </xf>
    <xf numFmtId="0" fontId="52" fillId="0" borderId="50" xfId="0" applyFont="1" applyFill="1" applyBorder="1" applyAlignment="1">
      <alignment horizontal="center" vertical="center" wrapText="1"/>
    </xf>
    <xf numFmtId="0" fontId="52" fillId="0" borderId="49" xfId="0" applyFont="1" applyFill="1" applyBorder="1" applyAlignment="1">
      <alignment horizontal="center" vertical="center" wrapText="1"/>
    </xf>
    <xf numFmtId="0" fontId="15" fillId="0" borderId="36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0" fontId="33" fillId="15" borderId="84" xfId="2" applyFont="1" applyFill="1" applyBorder="1" applyAlignment="1">
      <alignment horizontal="center" vertical="center" wrapText="1"/>
    </xf>
    <xf numFmtId="0" fontId="33" fillId="15" borderId="8" xfId="2" applyFont="1" applyFill="1" applyBorder="1" applyAlignment="1">
      <alignment horizontal="center" vertical="center" wrapText="1"/>
    </xf>
    <xf numFmtId="0" fontId="33" fillId="15" borderId="33" xfId="2" applyFont="1" applyFill="1" applyBorder="1" applyAlignment="1">
      <alignment horizontal="center" vertical="center" wrapText="1"/>
    </xf>
    <xf numFmtId="0" fontId="14" fillId="15" borderId="55" xfId="2" applyFont="1" applyFill="1" applyBorder="1" applyAlignment="1">
      <alignment horizontal="center" vertical="center" wrapText="1"/>
    </xf>
    <xf numFmtId="0" fontId="14" fillId="15" borderId="56" xfId="2" applyFont="1" applyFill="1" applyBorder="1" applyAlignment="1">
      <alignment horizontal="center" vertical="center" wrapText="1"/>
    </xf>
    <xf numFmtId="0" fontId="14" fillId="15" borderId="57" xfId="2" applyFont="1" applyFill="1" applyBorder="1" applyAlignment="1">
      <alignment horizontal="center" vertical="center" wrapText="1"/>
    </xf>
    <xf numFmtId="0" fontId="15" fillId="15" borderId="55" xfId="2" applyFont="1" applyFill="1" applyBorder="1" applyAlignment="1">
      <alignment horizontal="center" vertical="center" wrapText="1"/>
    </xf>
    <xf numFmtId="0" fontId="15" fillId="15" borderId="56" xfId="2" applyFont="1" applyFill="1" applyBorder="1" applyAlignment="1">
      <alignment horizontal="center" vertical="center" wrapText="1"/>
    </xf>
    <xf numFmtId="0" fontId="15" fillId="15" borderId="115" xfId="2" applyFont="1" applyFill="1" applyBorder="1" applyAlignment="1">
      <alignment horizontal="center" vertical="center" wrapText="1"/>
    </xf>
    <xf numFmtId="0" fontId="14" fillId="15" borderId="124" xfId="2" applyFont="1" applyFill="1" applyBorder="1" applyAlignment="1">
      <alignment horizontal="center" vertical="center" wrapText="1"/>
    </xf>
    <xf numFmtId="0" fontId="7" fillId="15" borderId="5" xfId="2" applyFont="1" applyFill="1" applyBorder="1" applyAlignment="1">
      <alignment horizontal="center" vertical="center" wrapText="1"/>
    </xf>
    <xf numFmtId="0" fontId="16" fillId="15" borderId="5" xfId="3" applyFont="1" applyFill="1" applyBorder="1" applyAlignment="1">
      <alignment horizontal="center" vertical="center" wrapText="1"/>
    </xf>
    <xf numFmtId="0" fontId="16" fillId="15" borderId="35" xfId="3" applyFont="1" applyFill="1" applyBorder="1" applyAlignment="1">
      <alignment horizontal="center" vertical="center" wrapText="1"/>
    </xf>
    <xf numFmtId="0" fontId="5" fillId="15" borderId="5" xfId="2" applyFont="1" applyFill="1" applyBorder="1" applyAlignment="1">
      <alignment horizontal="center" vertical="center" wrapText="1"/>
    </xf>
    <xf numFmtId="0" fontId="15" fillId="15" borderId="5" xfId="2" applyFont="1" applyFill="1" applyBorder="1" applyAlignment="1">
      <alignment horizontal="center" vertical="center" wrapText="1"/>
    </xf>
    <xf numFmtId="0" fontId="15" fillId="15" borderId="35" xfId="2" applyFont="1" applyFill="1" applyBorder="1" applyAlignment="1">
      <alignment horizontal="center" vertical="center" wrapText="1"/>
    </xf>
    <xf numFmtId="0" fontId="5" fillId="15" borderId="23" xfId="2" applyFont="1" applyFill="1" applyBorder="1" applyAlignment="1">
      <alignment horizontal="center" vertical="center" wrapText="1"/>
    </xf>
    <xf numFmtId="0" fontId="18" fillId="15" borderId="3" xfId="3" applyFont="1" applyFill="1" applyBorder="1" applyAlignment="1">
      <alignment horizontal="center" vertical="center" wrapText="1"/>
    </xf>
    <xf numFmtId="0" fontId="18" fillId="15" borderId="13" xfId="3" applyFont="1" applyFill="1" applyBorder="1" applyAlignment="1">
      <alignment horizontal="center" vertical="center" wrapText="1"/>
    </xf>
    <xf numFmtId="0" fontId="5" fillId="15" borderId="10" xfId="2" applyFont="1" applyFill="1" applyBorder="1" applyAlignment="1">
      <alignment horizontal="center" vertical="center" wrapText="1"/>
    </xf>
    <xf numFmtId="0" fontId="15" fillId="15" borderId="129" xfId="2" applyFont="1" applyFill="1" applyBorder="1" applyAlignment="1">
      <alignment horizontal="center" vertical="center" wrapText="1"/>
    </xf>
    <xf numFmtId="0" fontId="15" fillId="15" borderId="12" xfId="2" applyFont="1" applyFill="1" applyBorder="1" applyAlignment="1">
      <alignment horizontal="center" vertical="center" wrapText="1"/>
    </xf>
    <xf numFmtId="0" fontId="15" fillId="15" borderId="17" xfId="2" applyFont="1" applyFill="1" applyBorder="1" applyAlignment="1">
      <alignment horizontal="center" vertical="center" wrapText="1"/>
    </xf>
    <xf numFmtId="0" fontId="15" fillId="15" borderId="6" xfId="2" applyFont="1" applyFill="1" applyBorder="1" applyAlignment="1">
      <alignment horizontal="center" vertical="center" wrapText="1"/>
    </xf>
    <xf numFmtId="0" fontId="15" fillId="15" borderId="15" xfId="2" applyFont="1" applyFill="1" applyBorder="1" applyAlignment="1">
      <alignment horizontal="center" vertical="center" wrapText="1"/>
    </xf>
    <xf numFmtId="0" fontId="34" fillId="15" borderId="58" xfId="2" applyFont="1" applyFill="1" applyBorder="1" applyAlignment="1">
      <alignment horizontal="center" vertical="center" wrapText="1"/>
    </xf>
    <xf numFmtId="0" fontId="34" fillId="15" borderId="2" xfId="2" applyFont="1" applyFill="1" applyBorder="1" applyAlignment="1">
      <alignment horizontal="center" vertical="center" wrapText="1"/>
    </xf>
    <xf numFmtId="0" fontId="34" fillId="15" borderId="33" xfId="2" applyFont="1" applyFill="1" applyBorder="1" applyAlignment="1">
      <alignment horizontal="center" vertical="center" wrapText="1"/>
    </xf>
    <xf numFmtId="0" fontId="18" fillId="15" borderId="25" xfId="0" applyFont="1" applyFill="1" applyBorder="1" applyAlignment="1">
      <alignment horizontal="left" vertical="center"/>
    </xf>
    <xf numFmtId="0" fontId="18" fillId="15" borderId="138" xfId="0" applyFont="1" applyFill="1" applyBorder="1" applyAlignment="1">
      <alignment horizontal="left" vertical="center"/>
    </xf>
    <xf numFmtId="0" fontId="17" fillId="15" borderId="2" xfId="2" applyFont="1" applyFill="1" applyBorder="1" applyAlignment="1">
      <alignment horizontal="center" vertical="center" wrapText="1"/>
    </xf>
    <xf numFmtId="0" fontId="17" fillId="15" borderId="33" xfId="2" applyFont="1" applyFill="1" applyBorder="1" applyAlignment="1">
      <alignment horizontal="center" vertical="center" wrapText="1"/>
    </xf>
    <xf numFmtId="0" fontId="15" fillId="15" borderId="25" xfId="2" applyFont="1" applyFill="1" applyBorder="1" applyAlignment="1">
      <alignment horizontal="left" vertical="center" wrapText="1"/>
    </xf>
    <xf numFmtId="0" fontId="15" fillId="15" borderId="26" xfId="2" applyFont="1" applyFill="1" applyBorder="1" applyAlignment="1">
      <alignment horizontal="left" vertical="center" wrapText="1"/>
    </xf>
    <xf numFmtId="0" fontId="15" fillId="15" borderId="24" xfId="2" applyFont="1" applyFill="1" applyBorder="1" applyAlignment="1">
      <alignment horizontal="left" vertical="center" wrapText="1"/>
    </xf>
    <xf numFmtId="0" fontId="19" fillId="11" borderId="19" xfId="0" applyFont="1" applyFill="1" applyBorder="1" applyAlignment="1">
      <alignment vertical="top"/>
    </xf>
    <xf numFmtId="3" fontId="20" fillId="11" borderId="62" xfId="0" applyNumberFormat="1" applyFont="1" applyFill="1" applyBorder="1" applyAlignment="1">
      <alignment horizontal="center" vertical="center" wrapText="1"/>
    </xf>
    <xf numFmtId="3" fontId="20" fillId="11" borderId="66" xfId="0" applyNumberFormat="1" applyFont="1" applyFill="1" applyBorder="1" applyAlignment="1">
      <alignment horizontal="center" vertical="center" wrapText="1"/>
    </xf>
    <xf numFmtId="3" fontId="20" fillId="11" borderId="72" xfId="0" applyNumberFormat="1" applyFont="1" applyFill="1" applyBorder="1" applyAlignment="1">
      <alignment horizontal="center" vertical="center" wrapText="1"/>
    </xf>
    <xf numFmtId="0" fontId="34" fillId="0" borderId="8" xfId="0" applyFont="1" applyFill="1" applyBorder="1" applyAlignment="1">
      <alignment horizontal="center" vertical="center" wrapText="1"/>
    </xf>
    <xf numFmtId="0" fontId="34" fillId="0" borderId="33" xfId="0" applyFont="1" applyFill="1" applyBorder="1" applyAlignment="1">
      <alignment horizontal="center" vertical="center" wrapText="1"/>
    </xf>
    <xf numFmtId="0" fontId="34" fillId="0" borderId="82" xfId="0" applyFont="1" applyFill="1" applyBorder="1" applyAlignment="1">
      <alignment horizontal="center" vertical="center"/>
    </xf>
    <xf numFmtId="3" fontId="33" fillId="11" borderId="84" xfId="0" applyNumberFormat="1" applyFont="1" applyFill="1" applyBorder="1" applyAlignment="1">
      <alignment horizontal="center" vertical="top" wrapText="1"/>
    </xf>
    <xf numFmtId="0" fontId="35" fillId="0" borderId="8" xfId="0" applyFont="1" applyBorder="1" applyAlignment="1">
      <alignment horizontal="center" wrapText="1"/>
    </xf>
    <xf numFmtId="0" fontId="33" fillId="5" borderId="103" xfId="0" applyFont="1" applyFill="1" applyBorder="1" applyAlignment="1">
      <alignment vertical="center" wrapText="1"/>
    </xf>
    <xf numFmtId="0" fontId="15" fillId="0" borderId="41" xfId="0" applyFont="1" applyFill="1" applyBorder="1" applyAlignment="1">
      <alignment horizontal="center" vertical="center" wrapText="1"/>
    </xf>
    <xf numFmtId="0" fontId="15" fillId="0" borderId="43" xfId="0" applyFont="1" applyFill="1" applyBorder="1" applyAlignment="1">
      <alignment horizontal="center" vertical="center" wrapText="1"/>
    </xf>
    <xf numFmtId="0" fontId="15" fillId="0" borderId="45" xfId="0" applyFont="1" applyFill="1" applyBorder="1" applyAlignment="1">
      <alignment horizontal="center" vertical="center" wrapText="1"/>
    </xf>
    <xf numFmtId="0" fontId="15" fillId="0" borderId="42" xfId="0" applyFont="1" applyFill="1" applyBorder="1" applyAlignment="1">
      <alignment horizontal="center" vertical="center" wrapText="1"/>
    </xf>
    <xf numFmtId="0" fontId="15" fillId="0" borderId="50" xfId="0" applyFont="1" applyFill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wrapText="1"/>
    </xf>
    <xf numFmtId="0" fontId="33" fillId="0" borderId="22" xfId="2" applyFont="1" applyFill="1" applyBorder="1" applyAlignment="1">
      <alignment horizontal="center" vertical="center" wrapText="1"/>
    </xf>
    <xf numFmtId="0" fontId="33" fillId="0" borderId="10" xfId="2" applyFont="1" applyFill="1" applyBorder="1" applyAlignment="1">
      <alignment horizontal="center" vertical="center" wrapText="1"/>
    </xf>
    <xf numFmtId="0" fontId="33" fillId="0" borderId="15" xfId="2" applyFont="1" applyFill="1" applyBorder="1" applyAlignment="1">
      <alignment horizontal="center" vertical="center" wrapText="1"/>
    </xf>
    <xf numFmtId="0" fontId="30" fillId="5" borderId="25" xfId="2" applyFont="1" applyFill="1" applyBorder="1" applyAlignment="1">
      <alignment horizontal="center" vertical="center"/>
    </xf>
    <xf numFmtId="0" fontId="30" fillId="5" borderId="29" xfId="2" applyFont="1" applyFill="1" applyBorder="1" applyAlignment="1">
      <alignment horizontal="center" vertical="center"/>
    </xf>
    <xf numFmtId="0" fontId="30" fillId="5" borderId="114" xfId="2" applyFont="1" applyFill="1" applyBorder="1" applyAlignment="1">
      <alignment horizontal="center" vertical="center"/>
    </xf>
    <xf numFmtId="3" fontId="20" fillId="5" borderId="8" xfId="0" applyNumberFormat="1" applyFont="1" applyFill="1" applyBorder="1" applyAlignment="1">
      <alignment horizontal="center" vertical="center" wrapText="1"/>
    </xf>
    <xf numFmtId="3" fontId="20" fillId="5" borderId="33" xfId="0" applyNumberFormat="1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29" fillId="0" borderId="33" xfId="0" applyFont="1" applyFill="1" applyBorder="1" applyAlignment="1">
      <alignment horizontal="center" vertical="center" wrapText="1"/>
    </xf>
    <xf numFmtId="0" fontId="15" fillId="0" borderId="9" xfId="0" quotePrefix="1" applyFont="1" applyFill="1" applyBorder="1" applyAlignment="1">
      <alignment horizontal="center" vertical="center"/>
    </xf>
    <xf numFmtId="0" fontId="15" fillId="0" borderId="13" xfId="0" quotePrefix="1" applyFont="1" applyFill="1" applyBorder="1" applyAlignment="1">
      <alignment horizontal="center" vertical="center"/>
    </xf>
    <xf numFmtId="0" fontId="15" fillId="0" borderId="19" xfId="0" quotePrefix="1" applyFont="1" applyFill="1" applyBorder="1" applyAlignment="1">
      <alignment horizontal="center" vertical="center"/>
    </xf>
    <xf numFmtId="0" fontId="29" fillId="0" borderId="84" xfId="0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vertical="top"/>
    </xf>
    <xf numFmtId="0" fontId="15" fillId="5" borderId="13" xfId="0" applyFont="1" applyFill="1" applyBorder="1" applyAlignment="1">
      <alignment vertical="top"/>
    </xf>
    <xf numFmtId="0" fontId="15" fillId="0" borderId="28" xfId="0" applyFont="1" applyFill="1" applyBorder="1" applyAlignment="1">
      <alignment horizontal="center" vertical="center" wrapText="1"/>
    </xf>
    <xf numFmtId="0" fontId="29" fillId="0" borderId="59" xfId="0" applyFont="1" applyFill="1" applyBorder="1" applyAlignment="1">
      <alignment horizontal="center" vertical="center" wrapText="1"/>
    </xf>
    <xf numFmtId="0" fontId="29" fillId="2" borderId="8" xfId="0" applyFont="1" applyFill="1" applyBorder="1" applyAlignment="1">
      <alignment horizontal="center" vertical="center" wrapText="1"/>
    </xf>
    <xf numFmtId="0" fontId="29" fillId="2" borderId="33" xfId="0" applyFont="1" applyFill="1" applyBorder="1" applyAlignment="1">
      <alignment horizontal="center" vertical="center" wrapText="1"/>
    </xf>
    <xf numFmtId="0" fontId="35" fillId="2" borderId="5" xfId="0" applyFont="1" applyFill="1" applyBorder="1" applyAlignment="1">
      <alignment horizontal="center" vertical="center"/>
    </xf>
    <xf numFmtId="0" fontId="35" fillId="2" borderId="35" xfId="0" applyFont="1" applyFill="1" applyBorder="1" applyAlignment="1">
      <alignment horizontal="center" vertical="center"/>
    </xf>
    <xf numFmtId="0" fontId="36" fillId="2" borderId="6" xfId="0" applyFont="1" applyFill="1" applyBorder="1" applyAlignment="1">
      <alignment horizontal="center" vertical="center"/>
    </xf>
    <xf numFmtId="0" fontId="36" fillId="2" borderId="15" xfId="0" applyFont="1" applyFill="1" applyBorder="1" applyAlignment="1">
      <alignment horizontal="center" vertical="center"/>
    </xf>
    <xf numFmtId="0" fontId="15" fillId="0" borderId="19" xfId="0" applyFont="1" applyFill="1" applyBorder="1" applyAlignment="1">
      <alignment horizontal="center" vertical="center" wrapText="1"/>
    </xf>
    <xf numFmtId="0" fontId="32" fillId="2" borderId="14" xfId="0" applyFont="1" applyFill="1" applyBorder="1" applyAlignment="1">
      <alignment wrapText="1"/>
    </xf>
    <xf numFmtId="0" fontId="29" fillId="0" borderId="53" xfId="0" applyFont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29" fillId="0" borderId="58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0" fillId="5" borderId="19" xfId="0" applyFont="1" applyFill="1" applyBorder="1" applyAlignment="1">
      <alignment vertical="center"/>
    </xf>
    <xf numFmtId="3" fontId="33" fillId="0" borderId="84" xfId="2" applyNumberFormat="1" applyFont="1" applyFill="1" applyBorder="1" applyAlignment="1">
      <alignment horizontal="center" vertical="center" wrapText="1"/>
    </xf>
    <xf numFmtId="0" fontId="30" fillId="5" borderId="8" xfId="2" applyFont="1" applyFill="1" applyBorder="1" applyAlignment="1">
      <alignment horizontal="left" vertical="center"/>
    </xf>
    <xf numFmtId="0" fontId="35" fillId="0" borderId="81" xfId="0" applyFont="1" applyBorder="1" applyAlignment="1"/>
    <xf numFmtId="0" fontId="34" fillId="0" borderId="53" xfId="2" applyFont="1" applyFill="1" applyBorder="1" applyAlignment="1">
      <alignment horizontal="center" vertical="center"/>
    </xf>
    <xf numFmtId="0" fontId="34" fillId="0" borderId="23" xfId="2" applyFont="1" applyFill="1" applyBorder="1" applyAlignment="1">
      <alignment horizontal="center" vertical="center"/>
    </xf>
    <xf numFmtId="0" fontId="20" fillId="2" borderId="29" xfId="2" applyFont="1" applyFill="1" applyBorder="1" applyAlignment="1">
      <alignment horizontal="center" vertical="center" wrapText="1"/>
    </xf>
    <xf numFmtId="0" fontId="35" fillId="0" borderId="25" xfId="0" applyFont="1" applyBorder="1" applyAlignment="1">
      <alignment horizontal="center" vertical="center" wrapText="1"/>
    </xf>
    <xf numFmtId="0" fontId="35" fillId="0" borderId="92" xfId="0" applyFont="1" applyBorder="1" applyAlignment="1">
      <alignment horizontal="center" vertical="center" wrapText="1"/>
    </xf>
    <xf numFmtId="0" fontId="20" fillId="2" borderId="29" xfId="2" applyFont="1" applyFill="1" applyBorder="1" applyAlignment="1">
      <alignment horizontal="center" vertical="center" wrapText="1" shrinkToFit="1"/>
    </xf>
    <xf numFmtId="0" fontId="20" fillId="2" borderId="59" xfId="2" applyFont="1" applyFill="1" applyBorder="1" applyAlignment="1">
      <alignment horizontal="center" vertical="center" wrapText="1" shrinkToFit="1"/>
    </xf>
    <xf numFmtId="0" fontId="35" fillId="0" borderId="58" xfId="0" applyFont="1" applyBorder="1" applyAlignment="1">
      <alignment horizontal="center" wrapText="1" shrinkToFit="1"/>
    </xf>
    <xf numFmtId="0" fontId="35" fillId="0" borderId="114" xfId="0" applyFont="1" applyBorder="1" applyAlignment="1">
      <alignment horizontal="center" wrapText="1" shrinkToFit="1"/>
    </xf>
    <xf numFmtId="0" fontId="16" fillId="0" borderId="49" xfId="0" applyFont="1" applyBorder="1"/>
    <xf numFmtId="0" fontId="35" fillId="0" borderId="100" xfId="0" applyFont="1" applyBorder="1"/>
    <xf numFmtId="0" fontId="20" fillId="2" borderId="83" xfId="2" applyFont="1" applyFill="1" applyBorder="1" applyAlignment="1">
      <alignment horizontal="center" vertical="center" wrapText="1"/>
    </xf>
    <xf numFmtId="0" fontId="35" fillId="0" borderId="67" xfId="0" applyFont="1" applyBorder="1" applyAlignment="1">
      <alignment horizontal="center" vertical="center" wrapText="1"/>
    </xf>
    <xf numFmtId="0" fontId="36" fillId="0" borderId="9" xfId="0" applyFont="1" applyBorder="1" applyAlignment="1">
      <alignment horizontal="center" vertical="center"/>
    </xf>
    <xf numFmtId="0" fontId="34" fillId="0" borderId="9" xfId="2" applyFont="1" applyFill="1" applyBorder="1" applyAlignment="1">
      <alignment horizontal="center" vertical="center"/>
    </xf>
    <xf numFmtId="0" fontId="36" fillId="0" borderId="13" xfId="0" applyFont="1" applyBorder="1" applyAlignment="1">
      <alignment horizontal="center" vertical="center"/>
    </xf>
    <xf numFmtId="0" fontId="20" fillId="2" borderId="59" xfId="2" applyFont="1" applyFill="1" applyBorder="1" applyAlignment="1">
      <alignment horizontal="center" vertical="center" wrapText="1"/>
    </xf>
    <xf numFmtId="0" fontId="20" fillId="2" borderId="58" xfId="2" applyFont="1" applyFill="1" applyBorder="1" applyAlignment="1">
      <alignment horizontal="center" vertical="center" wrapText="1"/>
    </xf>
    <xf numFmtId="0" fontId="36" fillId="0" borderId="19" xfId="0" applyFont="1" applyBorder="1" applyAlignment="1">
      <alignment horizontal="center" vertical="center"/>
    </xf>
    <xf numFmtId="0" fontId="20" fillId="2" borderId="2" xfId="2" applyFont="1" applyFill="1" applyBorder="1" applyAlignment="1">
      <alignment horizontal="center" vertical="center" wrapText="1"/>
    </xf>
    <xf numFmtId="0" fontId="20" fillId="2" borderId="81" xfId="2" applyFont="1" applyFill="1" applyBorder="1" applyAlignment="1">
      <alignment horizontal="center" vertical="center" wrapText="1"/>
    </xf>
    <xf numFmtId="0" fontId="35" fillId="0" borderId="58" xfId="0" applyFont="1" applyBorder="1" applyAlignment="1">
      <alignment horizontal="center" wrapText="1"/>
    </xf>
    <xf numFmtId="0" fontId="35" fillId="0" borderId="2" xfId="0" applyFont="1" applyBorder="1" applyAlignment="1">
      <alignment horizontal="center" wrapText="1"/>
    </xf>
    <xf numFmtId="0" fontId="35" fillId="0" borderId="113" xfId="0" applyFont="1" applyBorder="1" applyAlignment="1">
      <alignment horizontal="center" wrapText="1"/>
    </xf>
    <xf numFmtId="0" fontId="34" fillId="0" borderId="28" xfId="2" applyFont="1" applyFill="1" applyBorder="1" applyAlignment="1">
      <alignment horizontal="center" vertical="center"/>
    </xf>
    <xf numFmtId="0" fontId="16" fillId="0" borderId="13" xfId="0" applyFont="1" applyBorder="1"/>
    <xf numFmtId="0" fontId="16" fillId="0" borderId="9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20" fillId="2" borderId="113" xfId="2" applyFont="1" applyFill="1" applyBorder="1" applyAlignment="1">
      <alignment horizontal="center" vertical="center" wrapText="1"/>
    </xf>
    <xf numFmtId="0" fontId="33" fillId="0" borderId="2" xfId="2" applyFont="1" applyFill="1" applyBorder="1" applyAlignment="1">
      <alignment horizontal="center" vertical="center" wrapText="1"/>
    </xf>
    <xf numFmtId="0" fontId="34" fillId="0" borderId="19" xfId="2" quotePrefix="1" applyFont="1" applyFill="1" applyBorder="1" applyAlignment="1">
      <alignment horizontal="center" vertical="center"/>
    </xf>
    <xf numFmtId="0" fontId="35" fillId="0" borderId="113" xfId="0" applyFont="1" applyBorder="1" applyAlignment="1">
      <alignment horizontal="center" wrapText="1" shrinkToFit="1"/>
    </xf>
    <xf numFmtId="0" fontId="34" fillId="0" borderId="3" xfId="2" applyFont="1" applyFill="1" applyBorder="1" applyAlignment="1">
      <alignment horizontal="center" vertical="center"/>
    </xf>
    <xf numFmtId="0" fontId="20" fillId="2" borderId="88" xfId="2" applyFont="1" applyFill="1" applyBorder="1" applyAlignment="1">
      <alignment horizontal="center" vertical="center" wrapText="1"/>
    </xf>
    <xf numFmtId="0" fontId="36" fillId="0" borderId="19" xfId="0" applyFont="1" applyBorder="1" applyAlignment="1">
      <alignment vertical="center"/>
    </xf>
    <xf numFmtId="0" fontId="36" fillId="0" borderId="9" xfId="0" applyFont="1" applyBorder="1" applyAlignment="1">
      <alignment vertical="center"/>
    </xf>
    <xf numFmtId="0" fontId="36" fillId="0" borderId="13" xfId="0" applyFont="1" applyBorder="1" applyAlignment="1">
      <alignment vertical="center"/>
    </xf>
    <xf numFmtId="0" fontId="34" fillId="0" borderId="41" xfId="2" quotePrefix="1" applyFont="1" applyFill="1" applyBorder="1" applyAlignment="1">
      <alignment horizontal="center" vertical="center"/>
    </xf>
    <xf numFmtId="0" fontId="34" fillId="0" borderId="43" xfId="2" applyFont="1" applyFill="1" applyBorder="1" applyAlignment="1">
      <alignment horizontal="center" vertical="center"/>
    </xf>
    <xf numFmtId="0" fontId="34" fillId="0" borderId="45" xfId="2" applyFont="1" applyFill="1" applyBorder="1" applyAlignment="1">
      <alignment horizontal="center" vertical="center"/>
    </xf>
    <xf numFmtId="0" fontId="33" fillId="0" borderId="95" xfId="2" applyFont="1" applyFill="1" applyBorder="1" applyAlignment="1">
      <alignment horizontal="center" vertical="center" wrapText="1"/>
    </xf>
    <xf numFmtId="0" fontId="20" fillId="2" borderId="80" xfId="2" applyFont="1" applyFill="1" applyBorder="1" applyAlignment="1">
      <alignment horizontal="center" vertical="center" wrapText="1"/>
    </xf>
    <xf numFmtId="0" fontId="35" fillId="0" borderId="65" xfId="0" applyFont="1" applyBorder="1" applyAlignment="1">
      <alignment horizontal="center" vertical="center" wrapText="1"/>
    </xf>
    <xf numFmtId="0" fontId="35" fillId="0" borderId="71" xfId="0" applyFont="1" applyBorder="1" applyAlignment="1">
      <alignment horizontal="center" vertical="center" wrapText="1"/>
    </xf>
    <xf numFmtId="0" fontId="29" fillId="0" borderId="84" xfId="2" applyFont="1" applyFill="1" applyBorder="1" applyAlignment="1">
      <alignment horizontal="center" vertical="center" wrapText="1"/>
    </xf>
    <xf numFmtId="0" fontId="29" fillId="0" borderId="8" xfId="2" applyFont="1" applyFill="1" applyBorder="1" applyAlignment="1">
      <alignment horizontal="center" vertical="center" wrapText="1"/>
    </xf>
    <xf numFmtId="0" fontId="29" fillId="0" borderId="33" xfId="2" applyFont="1" applyFill="1" applyBorder="1" applyAlignment="1">
      <alignment horizontal="center" vertical="center" wrapText="1"/>
    </xf>
    <xf numFmtId="0" fontId="35" fillId="0" borderId="12" xfId="0" applyFont="1" applyBorder="1"/>
    <xf numFmtId="0" fontId="32" fillId="2" borderId="14" xfId="0" applyFont="1" applyFill="1" applyBorder="1" applyAlignment="1">
      <alignment vertical="center"/>
    </xf>
    <xf numFmtId="0" fontId="44" fillId="0" borderId="14" xfId="0" applyFont="1" applyBorder="1" applyAlignment="1">
      <alignment vertical="center"/>
    </xf>
    <xf numFmtId="0" fontId="36" fillId="0" borderId="42" xfId="0" applyFont="1" applyBorder="1" applyAlignment="1">
      <alignment horizontal="center" vertical="center"/>
    </xf>
    <xf numFmtId="0" fontId="34" fillId="0" borderId="50" xfId="2" applyFont="1" applyFill="1" applyBorder="1" applyAlignment="1">
      <alignment horizontal="center" vertical="center"/>
    </xf>
    <xf numFmtId="0" fontId="36" fillId="0" borderId="49" xfId="0" applyFont="1" applyBorder="1" applyAlignment="1">
      <alignment horizontal="center" vertical="center"/>
    </xf>
    <xf numFmtId="0" fontId="29" fillId="0" borderId="18" xfId="2" applyFont="1" applyFill="1" applyBorder="1" applyAlignment="1">
      <alignment horizontal="center" vertical="center" wrapText="1"/>
    </xf>
    <xf numFmtId="0" fontId="29" fillId="0" borderId="58" xfId="2" applyFont="1" applyFill="1" applyBorder="1" applyAlignment="1">
      <alignment horizontal="center" vertical="center" wrapText="1"/>
    </xf>
    <xf numFmtId="0" fontId="29" fillId="0" borderId="113" xfId="2" applyFont="1" applyFill="1" applyBorder="1" applyAlignment="1">
      <alignment horizontal="center" vertical="center" wrapText="1"/>
    </xf>
    <xf numFmtId="0" fontId="29" fillId="2" borderId="84" xfId="0" quotePrefix="1" applyFont="1" applyFill="1" applyBorder="1" applyAlignment="1">
      <alignment horizontal="center" vertical="top"/>
    </xf>
    <xf numFmtId="0" fontId="29" fillId="2" borderId="8" xfId="0" quotePrefix="1" applyFont="1" applyFill="1" applyBorder="1" applyAlignment="1">
      <alignment horizontal="center" vertical="top"/>
    </xf>
    <xf numFmtId="0" fontId="29" fillId="2" borderId="33" xfId="0" quotePrefix="1" applyFont="1" applyFill="1" applyBorder="1" applyAlignment="1">
      <alignment horizontal="center" vertical="top"/>
    </xf>
    <xf numFmtId="0" fontId="38" fillId="2" borderId="15" xfId="0" applyFont="1" applyFill="1" applyBorder="1" applyAlignment="1">
      <alignment horizontal="left" vertical="top" wrapText="1"/>
    </xf>
    <xf numFmtId="0" fontId="44" fillId="0" borderId="15" xfId="0" applyFont="1" applyBorder="1" applyAlignment="1">
      <alignment vertical="top"/>
    </xf>
    <xf numFmtId="0" fontId="44" fillId="0" borderId="33" xfId="0" applyFont="1" applyBorder="1" applyAlignment="1">
      <alignment vertical="top"/>
    </xf>
    <xf numFmtId="0" fontId="20" fillId="0" borderId="53" xfId="0" applyFont="1" applyFill="1" applyBorder="1" applyAlignment="1">
      <alignment horizontal="center" vertical="center"/>
    </xf>
    <xf numFmtId="0" fontId="20" fillId="0" borderId="23" xfId="0" applyFont="1" applyFill="1" applyBorder="1" applyAlignment="1">
      <alignment horizontal="center" vertical="center"/>
    </xf>
    <xf numFmtId="0" fontId="20" fillId="0" borderId="34" xfId="0" applyFont="1" applyFill="1" applyBorder="1" applyAlignment="1">
      <alignment horizontal="center" vertical="center"/>
    </xf>
    <xf numFmtId="0" fontId="20" fillId="0" borderId="54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35" xfId="0" applyFont="1" applyFill="1" applyBorder="1" applyAlignment="1">
      <alignment horizontal="center" vertical="center" wrapText="1"/>
    </xf>
    <xf numFmtId="0" fontId="34" fillId="5" borderId="19" xfId="2" applyFont="1" applyFill="1" applyBorder="1" applyAlignment="1">
      <alignment horizontal="center" vertical="top"/>
    </xf>
    <xf numFmtId="3" fontId="33" fillId="5" borderId="84" xfId="2" applyNumberFormat="1" applyFont="1" applyFill="1" applyBorder="1" applyAlignment="1">
      <alignment horizontal="center" vertical="center"/>
    </xf>
    <xf numFmtId="3" fontId="33" fillId="5" borderId="8" xfId="2" applyNumberFormat="1" applyFont="1" applyFill="1" applyBorder="1" applyAlignment="1">
      <alignment horizontal="center" vertical="center"/>
    </xf>
    <xf numFmtId="3" fontId="33" fillId="5" borderId="33" xfId="2" applyNumberFormat="1" applyFont="1" applyFill="1" applyBorder="1" applyAlignment="1">
      <alignment horizontal="center" vertical="center"/>
    </xf>
    <xf numFmtId="3" fontId="41" fillId="5" borderId="77" xfId="2" applyNumberFormat="1" applyFont="1" applyFill="1" applyBorder="1" applyAlignment="1">
      <alignment horizontal="center" vertical="center" wrapText="1"/>
    </xf>
    <xf numFmtId="0" fontId="35" fillId="0" borderId="58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0" fillId="5" borderId="77" xfId="2" applyFont="1" applyFill="1" applyBorder="1" applyAlignment="1">
      <alignment horizontal="center" vertical="center"/>
    </xf>
    <xf numFmtId="0" fontId="35" fillId="0" borderId="113" xfId="0" applyFont="1" applyBorder="1" applyAlignment="1">
      <alignment horizontal="center" vertical="center"/>
    </xf>
    <xf numFmtId="0" fontId="34" fillId="0" borderId="19" xfId="0" applyFont="1" applyFill="1" applyBorder="1" applyAlignment="1">
      <alignment horizontal="center" vertical="center" wrapText="1"/>
    </xf>
    <xf numFmtId="0" fontId="34" fillId="0" borderId="9" xfId="0" applyFont="1" applyFill="1" applyBorder="1" applyAlignment="1">
      <alignment horizontal="center" vertical="center" wrapText="1"/>
    </xf>
    <xf numFmtId="0" fontId="34" fillId="0" borderId="13" xfId="0" applyFont="1" applyFill="1" applyBorder="1" applyAlignment="1">
      <alignment horizontal="center" vertical="center" wrapText="1"/>
    </xf>
    <xf numFmtId="3" fontId="20" fillId="2" borderId="59" xfId="2" applyNumberFormat="1" applyFont="1" applyFill="1" applyBorder="1" applyAlignment="1">
      <alignment horizontal="center" vertical="center" wrapText="1"/>
    </xf>
    <xf numFmtId="0" fontId="38" fillId="2" borderId="37" xfId="0" applyFont="1" applyFill="1" applyBorder="1" applyAlignment="1">
      <alignment horizontal="left" vertical="center" wrapText="1"/>
    </xf>
    <xf numFmtId="0" fontId="44" fillId="0" borderId="37" xfId="0" applyFont="1" applyBorder="1" applyAlignment="1">
      <alignment vertical="center"/>
    </xf>
    <xf numFmtId="0" fontId="34" fillId="5" borderId="19" xfId="0" applyFont="1" applyFill="1" applyBorder="1" applyAlignment="1">
      <alignment vertical="top"/>
    </xf>
    <xf numFmtId="0" fontId="16" fillId="0" borderId="9" xfId="0" applyFont="1" applyBorder="1" applyAlignment="1">
      <alignment vertical="top"/>
    </xf>
    <xf numFmtId="0" fontId="16" fillId="0" borderId="13" xfId="0" applyFont="1" applyBorder="1" applyAlignment="1">
      <alignment vertical="top"/>
    </xf>
    <xf numFmtId="3" fontId="20" fillId="5" borderId="18" xfId="0" applyNumberFormat="1" applyFont="1" applyFill="1" applyBorder="1" applyAlignment="1">
      <alignment horizontal="center" vertical="center" wrapText="1"/>
    </xf>
    <xf numFmtId="3" fontId="20" fillId="5" borderId="58" xfId="0" applyNumberFormat="1" applyFont="1" applyFill="1" applyBorder="1" applyAlignment="1">
      <alignment horizontal="center" vertical="center" wrapText="1"/>
    </xf>
    <xf numFmtId="3" fontId="20" fillId="5" borderId="113" xfId="0" applyNumberFormat="1" applyFont="1" applyFill="1" applyBorder="1" applyAlignment="1">
      <alignment horizontal="center" vertical="center" wrapText="1"/>
    </xf>
    <xf numFmtId="0" fontId="41" fillId="5" borderId="77" xfId="2" applyFont="1" applyFill="1" applyBorder="1" applyAlignment="1">
      <alignment horizontal="center" vertical="center"/>
    </xf>
    <xf numFmtId="0" fontId="41" fillId="5" borderId="113" xfId="2" applyFont="1" applyFill="1" applyBorder="1" applyAlignment="1">
      <alignment horizontal="center" vertical="center"/>
    </xf>
    <xf numFmtId="0" fontId="34" fillId="0" borderId="53" xfId="0" applyFont="1" applyFill="1" applyBorder="1" applyAlignment="1">
      <alignment horizontal="center" vertical="center" wrapText="1"/>
    </xf>
    <xf numFmtId="0" fontId="16" fillId="0" borderId="58" xfId="0" applyFont="1" applyBorder="1" applyAlignment="1">
      <alignment horizontal="center" vertical="center" wrapText="1"/>
    </xf>
    <xf numFmtId="0" fontId="16" fillId="0" borderId="113" xfId="0" applyFont="1" applyBorder="1" applyAlignment="1">
      <alignment horizontal="center" vertical="center" wrapText="1"/>
    </xf>
    <xf numFmtId="0" fontId="32" fillId="2" borderId="14" xfId="0" applyFont="1" applyFill="1" applyBorder="1" applyAlignment="1">
      <alignment horizontal="left" vertical="top" wrapText="1"/>
    </xf>
    <xf numFmtId="0" fontId="38" fillId="2" borderId="14" xfId="0" applyFont="1" applyFill="1" applyBorder="1" applyAlignment="1">
      <alignment horizontal="left" vertical="top" wrapText="1"/>
    </xf>
    <xf numFmtId="0" fontId="20" fillId="0" borderId="3" xfId="0" applyFont="1" applyFill="1" applyBorder="1" applyAlignment="1">
      <alignment horizontal="center" vertical="center"/>
    </xf>
    <xf numFmtId="0" fontId="20" fillId="0" borderId="13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34" fillId="5" borderId="9" xfId="2" applyFont="1" applyFill="1" applyBorder="1" applyAlignment="1">
      <alignment horizontal="center" vertical="top"/>
    </xf>
  </cellXfs>
  <cellStyles count="5">
    <cellStyle name="Dziesiętny" xfId="1" builtinId="3"/>
    <cellStyle name="Normalny" xfId="0" builtinId="0"/>
    <cellStyle name="Normalny 2" xfId="4"/>
    <cellStyle name="Normalny_Kopia WPI_zest_u_marszal_05_09_06_nowe" xfId="2"/>
    <cellStyle name="Normalny_WPI Drogi i Transport 2007-2010_DIN" xfId="3"/>
  </cellStyles>
  <dxfs count="0"/>
  <tableStyles count="0" defaultTableStyle="TableStyleMedium2" defaultPivotStyle="PivotStyleLight16"/>
  <colors>
    <mruColors>
      <color rgb="FF0000FF"/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94</xdr:row>
      <xdr:rowOff>0</xdr:rowOff>
    </xdr:from>
    <xdr:to>
      <xdr:col>23</xdr:col>
      <xdr:colOff>0</xdr:colOff>
      <xdr:row>94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544925" y="157353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58</xdr:row>
      <xdr:rowOff>0</xdr:rowOff>
    </xdr:from>
    <xdr:to>
      <xdr:col>22</xdr:col>
      <xdr:colOff>0</xdr:colOff>
      <xdr:row>58</xdr:row>
      <xdr:rowOff>0</xdr:rowOff>
    </xdr:to>
    <xdr:sp macro="" textlink="">
      <xdr:nvSpPr>
        <xdr:cNvPr id="2" name="AutoShape 3"/>
        <xdr:cNvSpPr>
          <a:spLocks noChangeArrowheads="1"/>
        </xdr:cNvSpPr>
      </xdr:nvSpPr>
      <xdr:spPr bwMode="auto">
        <a:xfrm rot="4832260">
          <a:off x="14963775" y="7858125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Q1077"/>
  <sheetViews>
    <sheetView showGridLines="0" tabSelected="1" view="pageBreakPreview" zoomScaleNormal="100" zoomScaleSheetLayoutView="100" workbookViewId="0">
      <selection activeCell="V13" sqref="V13"/>
    </sheetView>
  </sheetViews>
  <sheetFormatPr defaultRowHeight="12.75" x14ac:dyDescent="0.2"/>
  <cols>
    <col min="1" max="1" width="4.42578125" style="6" customWidth="1"/>
    <col min="2" max="2" width="44.85546875" style="7" customWidth="1"/>
    <col min="3" max="3" width="14.28515625" style="7" customWidth="1"/>
    <col min="4" max="4" width="12.28515625" style="7" hidden="1" customWidth="1"/>
    <col min="5" max="5" width="12.140625" style="231" hidden="1" customWidth="1"/>
    <col min="6" max="6" width="12.7109375" style="8" customWidth="1"/>
    <col min="7" max="7" width="15" style="8" customWidth="1"/>
    <col min="8" max="8" width="14.28515625" style="8" hidden="1" customWidth="1"/>
    <col min="9" max="9" width="12.28515625" style="8" hidden="1" customWidth="1"/>
    <col min="10" max="10" width="13" style="8" hidden="1" customWidth="1"/>
    <col min="11" max="11" width="12.42578125" style="8" hidden="1" customWidth="1"/>
    <col min="12" max="12" width="15.7109375" style="8" hidden="1" customWidth="1"/>
    <col min="13" max="13" width="14.5703125" style="8" customWidth="1"/>
    <col min="14" max="14" width="9.85546875" style="8" customWidth="1"/>
    <col min="15" max="15" width="12.140625" style="8" customWidth="1"/>
    <col min="16" max="16" width="12" style="8" customWidth="1"/>
    <col min="17" max="17" width="14.85546875" style="220" hidden="1" customWidth="1"/>
    <col min="18" max="16384" width="9.140625" style="7"/>
  </cols>
  <sheetData>
    <row r="1" spans="1:17" ht="18.75" x14ac:dyDescent="0.3">
      <c r="E1" s="8"/>
      <c r="M1" s="9"/>
      <c r="N1" s="9"/>
      <c r="O1" s="5" t="s">
        <v>366</v>
      </c>
      <c r="P1" s="9"/>
      <c r="Q1" s="9"/>
    </row>
    <row r="2" spans="1:17" ht="6" customHeight="1" x14ac:dyDescent="0.2">
      <c r="E2" s="8"/>
      <c r="L2" s="10"/>
      <c r="M2" s="10"/>
      <c r="N2" s="10"/>
      <c r="O2" s="10"/>
      <c r="P2" s="10"/>
      <c r="Q2" s="10"/>
    </row>
    <row r="3" spans="1:17" ht="105" customHeight="1" x14ac:dyDescent="0.35">
      <c r="A3" s="2715" t="s">
        <v>377</v>
      </c>
      <c r="B3" s="2715"/>
      <c r="C3" s="2715"/>
      <c r="D3" s="2715"/>
      <c r="E3" s="2715"/>
      <c r="F3" s="2715"/>
      <c r="G3" s="2715"/>
      <c r="H3" s="2715"/>
      <c r="I3" s="2715"/>
      <c r="J3" s="2715"/>
      <c r="K3" s="2715"/>
      <c r="L3" s="2715"/>
      <c r="M3" s="2715"/>
      <c r="N3" s="2715"/>
      <c r="O3" s="2715"/>
      <c r="P3" s="2715"/>
      <c r="Q3" s="2715"/>
    </row>
    <row r="4" spans="1:17" ht="27.75" customHeight="1" x14ac:dyDescent="0.2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</row>
    <row r="5" spans="1:17" ht="69" customHeight="1" thickBot="1" x14ac:dyDescent="0.25">
      <c r="A5" s="2716" t="s">
        <v>376</v>
      </c>
      <c r="B5" s="2716"/>
      <c r="C5" s="2716"/>
      <c r="D5" s="2716"/>
      <c r="E5" s="2716"/>
      <c r="F5" s="2716"/>
      <c r="G5" s="2716"/>
      <c r="H5" s="2716"/>
      <c r="I5" s="2716"/>
      <c r="J5" s="2716"/>
      <c r="K5" s="2716"/>
      <c r="L5" s="2716"/>
      <c r="M5" s="2716"/>
      <c r="N5" s="2716"/>
      <c r="O5" s="2716"/>
      <c r="P5" s="2716"/>
      <c r="Q5" s="2716"/>
    </row>
    <row r="6" spans="1:17" s="8" customFormat="1" ht="57" customHeight="1" x14ac:dyDescent="0.2">
      <c r="A6" s="12"/>
      <c r="B6" s="13"/>
      <c r="C6" s="2717" t="s">
        <v>350</v>
      </c>
      <c r="D6" s="2718"/>
      <c r="E6" s="2718"/>
      <c r="F6" s="2718"/>
      <c r="G6" s="2719"/>
      <c r="H6" s="2736"/>
      <c r="I6" s="2737"/>
      <c r="J6" s="2737"/>
      <c r="K6" s="2737"/>
      <c r="L6" s="2738"/>
      <c r="M6" s="2717" t="s">
        <v>214</v>
      </c>
      <c r="N6" s="2718"/>
      <c r="O6" s="2718"/>
      <c r="P6" s="2719"/>
      <c r="Q6" s="14"/>
    </row>
    <row r="7" spans="1:17" ht="32.25" customHeight="1" x14ac:dyDescent="0.2">
      <c r="A7" s="15" t="s">
        <v>1</v>
      </c>
      <c r="B7" s="16" t="s">
        <v>2</v>
      </c>
      <c r="C7" s="2739" t="s">
        <v>0</v>
      </c>
      <c r="D7" s="2742" t="s">
        <v>215</v>
      </c>
      <c r="E7" s="2745" t="s">
        <v>216</v>
      </c>
      <c r="F7" s="2748" t="s">
        <v>349</v>
      </c>
      <c r="G7" s="2749"/>
      <c r="H7" s="2750" t="s">
        <v>0</v>
      </c>
      <c r="I7" s="2753" t="s">
        <v>215</v>
      </c>
      <c r="J7" s="2733" t="s">
        <v>216</v>
      </c>
      <c r="K7" s="2753" t="s">
        <v>308</v>
      </c>
      <c r="L7" s="2756" t="s">
        <v>304</v>
      </c>
      <c r="M7" s="2750" t="s">
        <v>217</v>
      </c>
      <c r="N7" s="2720" t="s">
        <v>357</v>
      </c>
      <c r="O7" s="2721"/>
      <c r="P7" s="2722"/>
      <c r="Q7" s="17"/>
    </row>
    <row r="8" spans="1:17" ht="33" customHeight="1" x14ac:dyDescent="0.2">
      <c r="A8" s="15"/>
      <c r="B8" s="16"/>
      <c r="C8" s="2740"/>
      <c r="D8" s="2743"/>
      <c r="E8" s="2746"/>
      <c r="F8" s="2753" t="s">
        <v>354</v>
      </c>
      <c r="G8" s="2761" t="s">
        <v>304</v>
      </c>
      <c r="H8" s="2751"/>
      <c r="I8" s="2754"/>
      <c r="J8" s="2734"/>
      <c r="K8" s="2754"/>
      <c r="L8" s="2757"/>
      <c r="M8" s="2759"/>
      <c r="N8" s="2707" t="s">
        <v>364</v>
      </c>
      <c r="O8" s="2709" t="s">
        <v>351</v>
      </c>
      <c r="P8" s="2711" t="s">
        <v>363</v>
      </c>
      <c r="Q8" s="2713" t="s">
        <v>219</v>
      </c>
    </row>
    <row r="9" spans="1:17" ht="58.5" customHeight="1" thickBot="1" x14ac:dyDescent="0.25">
      <c r="A9" s="15"/>
      <c r="B9" s="18"/>
      <c r="C9" s="2741"/>
      <c r="D9" s="2744"/>
      <c r="E9" s="2747"/>
      <c r="F9" s="2755"/>
      <c r="G9" s="2762"/>
      <c r="H9" s="2752"/>
      <c r="I9" s="2755"/>
      <c r="J9" s="2735"/>
      <c r="K9" s="2755"/>
      <c r="L9" s="2758"/>
      <c r="M9" s="2760"/>
      <c r="N9" s="2708"/>
      <c r="O9" s="2710"/>
      <c r="P9" s="2712"/>
      <c r="Q9" s="2714"/>
    </row>
    <row r="10" spans="1:17" ht="13.5" customHeight="1" thickBot="1" x14ac:dyDescent="0.25">
      <c r="A10" s="19">
        <v>1</v>
      </c>
      <c r="B10" s="20">
        <v>2</v>
      </c>
      <c r="C10" s="21">
        <v>3</v>
      </c>
      <c r="D10" s="22"/>
      <c r="E10" s="23"/>
      <c r="F10" s="24">
        <v>4</v>
      </c>
      <c r="G10" s="23">
        <v>5</v>
      </c>
      <c r="H10" s="25"/>
      <c r="I10" s="26"/>
      <c r="J10" s="26"/>
      <c r="K10" s="26"/>
      <c r="L10" s="27"/>
      <c r="M10" s="28">
        <v>6</v>
      </c>
      <c r="N10" s="29">
        <v>7</v>
      </c>
      <c r="O10" s="29">
        <v>8</v>
      </c>
      <c r="P10" s="30">
        <v>9</v>
      </c>
      <c r="Q10" s="31">
        <v>13</v>
      </c>
    </row>
    <row r="11" spans="1:17" ht="16.5" customHeight="1" thickBot="1" x14ac:dyDescent="0.25">
      <c r="A11" s="32"/>
      <c r="B11" s="33" t="s">
        <v>220</v>
      </c>
      <c r="C11" s="34">
        <f t="shared" ref="C11" si="0">C12+C13</f>
        <v>1287393494</v>
      </c>
      <c r="D11" s="34">
        <f t="shared" ref="D11:L11" si="1">D12+D13</f>
        <v>476129029</v>
      </c>
      <c r="E11" s="34">
        <f t="shared" si="1"/>
        <v>277827502</v>
      </c>
      <c r="F11" s="34">
        <f t="shared" si="1"/>
        <v>279097303</v>
      </c>
      <c r="G11" s="34">
        <f t="shared" si="1"/>
        <v>254339660</v>
      </c>
      <c r="H11" s="35">
        <f t="shared" si="1"/>
        <v>1283857102.3699999</v>
      </c>
      <c r="I11" s="36">
        <f t="shared" si="1"/>
        <v>476128869</v>
      </c>
      <c r="J11" s="36">
        <f t="shared" ref="J11" si="2">J12+J13</f>
        <v>274291270.37</v>
      </c>
      <c r="K11" s="34">
        <f t="shared" si="1"/>
        <v>279097303</v>
      </c>
      <c r="L11" s="37">
        <f t="shared" si="1"/>
        <v>254339660</v>
      </c>
      <c r="M11" s="38">
        <f>M12+M13</f>
        <v>765119078.03999996</v>
      </c>
      <c r="N11" s="39">
        <f>M11/C11*100</f>
        <v>59.431640877936573</v>
      </c>
      <c r="O11" s="34">
        <f t="shared" ref="O11" si="3">O12+O13</f>
        <v>14698938.67</v>
      </c>
      <c r="P11" s="40">
        <f>O11/F11*100</f>
        <v>5.2666000394851542</v>
      </c>
      <c r="Q11" s="41">
        <f t="shared" ref="Q11:Q13" si="4">+O11-K11*0.25</f>
        <v>-55075387.079999998</v>
      </c>
    </row>
    <row r="12" spans="1:17" ht="15.75" customHeight="1" thickTop="1" thickBot="1" x14ac:dyDescent="0.25">
      <c r="A12" s="32"/>
      <c r="B12" s="42" t="s">
        <v>221</v>
      </c>
      <c r="C12" s="43">
        <f>Drogi!D12+'Polityka społeczna i rozwój prz'!D10+Oświata!D11+Administracja!D11+'Rolnictwo i Ochrona środowiska'!D10+'Kultura fizyczna i turystyka'!D12+'Planowanie przestrzenne'!D12</f>
        <v>314411561</v>
      </c>
      <c r="D12" s="43">
        <f>Drogi!E12+'Polityka społeczna i rozwój prz'!E10+Oświata!E11+Administracja!E11+'Rolnictwo i Ochrona środowiska'!E10+'Kultura fizyczna i turystyka'!E12+'Planowanie przestrzenne'!E12</f>
        <v>120461130</v>
      </c>
      <c r="E12" s="43">
        <f>Drogi!F12+'Polityka społeczna i rozwój prz'!F10+Oświata!F11+Administracja!F11+'Rolnictwo i Ochrona środowiska'!F10+'Kultura fizyczna i turystyka'!F12+'Planowanie przestrzenne'!F12</f>
        <v>50165634</v>
      </c>
      <c r="F12" s="43">
        <f>Drogi!G12+'Polityka społeczna i rozwój prz'!G10+Oświata!G11+Administracja!G11+'Rolnictwo i Ochrona środowiska'!G10+'Kultura fizyczna i turystyka'!G12+'Planowanie przestrzenne'!G12</f>
        <v>60852477</v>
      </c>
      <c r="G12" s="43">
        <f>Drogi!H12+'Polityka społeczna i rozwój prz'!H10+Oświata!H11+Administracja!H11+'Rolnictwo i Ochrona środowiska'!H10+'Kultura fizyczna i turystyka'!H12+'Planowanie przestrzenne'!H12</f>
        <v>82932320</v>
      </c>
      <c r="H12" s="44">
        <f>Drogi!I12+'Polityka społeczna i rozwój prz'!I10+Oświata!I11+Administracja!I11+'Rolnictwo i Ochrona środowiska'!I10+'Kultura fizyczna i turystyka'!I12+'Planowanie przestrzenne'!I12</f>
        <v>311039593.07999998</v>
      </c>
      <c r="I12" s="45">
        <f>Drogi!J12+'Polityka społeczna i rozwój prz'!J10+Oświata!J11+Administracja!J11+'Rolnictwo i Ochrona środowiska'!J10+'Kultura fizyczna i turystyka'!J12+'Planowanie przestrzenne'!J12</f>
        <v>120460970</v>
      </c>
      <c r="J12" s="45">
        <f>Drogi!K12+'Polityka społeczna i rozwój prz'!K10+Oświata!K11+Administracja!K11+'Rolnictwo i Ochrona środowiska'!K10+'Kultura fizyczna i turystyka'!K12+'Planowanie przestrzenne'!K12</f>
        <v>46793826.079999998</v>
      </c>
      <c r="K12" s="43">
        <f>Drogi!L12+'Polityka społeczna i rozwój prz'!L10+Oświata!L11+Administracja!L11+'Rolnictwo i Ochrona środowiska'!L10+'Kultura fizyczna i turystyka'!L12+'Planowanie przestrzenne'!L12</f>
        <v>60852477</v>
      </c>
      <c r="L12" s="46">
        <f>Drogi!M12+'Polityka społeczna i rozwój prz'!M10+Oświata!M11+Administracja!M11+'Rolnictwo i Ochrona środowiska'!M10+'Kultura fizyczna i turystyka'!M12+'Planowanie przestrzenne'!M12</f>
        <v>82932320</v>
      </c>
      <c r="M12" s="47">
        <f>Drogi!N12+'Polityka społeczna i rozwój prz'!N10+Oświata!N11+Administracja!N11+'Rolnictwo i Ochrona środowiska'!N10+'Kultura fizyczna i turystyka'!N12+'Planowanie przestrzenne'!N12</f>
        <v>176971609.94</v>
      </c>
      <c r="N12" s="48">
        <f t="shared" ref="N12:N41" si="5">M12/C12*100</f>
        <v>56.286610256039538</v>
      </c>
      <c r="O12" s="43">
        <f>Drogi!P12+'Polityka społeczna i rozwój prz'!P10+Oświata!P11+Administracja!P11+'Rolnictwo i Ochrona środowiska'!P10+'Kultura fizyczna i turystyka'!P12+'Planowanie przestrzenne'!P12</f>
        <v>9716813.8599999994</v>
      </c>
      <c r="P12" s="49">
        <f t="shared" ref="P12:P41" si="6">O12/F12*100</f>
        <v>15.967819781600673</v>
      </c>
      <c r="Q12" s="50">
        <f t="shared" si="4"/>
        <v>-5496305.3900000006</v>
      </c>
    </row>
    <row r="13" spans="1:17" ht="13.5" customHeight="1" thickTop="1" thickBot="1" x14ac:dyDescent="0.25">
      <c r="A13" s="32"/>
      <c r="B13" s="51" t="s">
        <v>222</v>
      </c>
      <c r="C13" s="52">
        <f>Drogi!D13+'Polityka społeczna i rozwój prz'!D11+Oświata!D12+Administracja!D12+'Rolnictwo i Ochrona środowiska'!D11+'Kultura fizyczna i turystyka'!D13+'Planowanie przestrzenne'!D13</f>
        <v>972981933</v>
      </c>
      <c r="D13" s="52">
        <f>Drogi!E13+'Polityka społeczna i rozwój prz'!E11+Oświata!E12+Administracja!E12+'Rolnictwo i Ochrona środowiska'!E11+'Kultura fizyczna i turystyka'!E13+'Planowanie przestrzenne'!E13</f>
        <v>355667899</v>
      </c>
      <c r="E13" s="52">
        <f>Drogi!F13+'Polityka społeczna i rozwój prz'!F11+Oświata!F12+Administracja!F12+'Rolnictwo i Ochrona środowiska'!F11+'Kultura fizyczna i turystyka'!F13+'Planowanie przestrzenne'!F13</f>
        <v>227661868</v>
      </c>
      <c r="F13" s="52">
        <f>Drogi!G13+'Polityka społeczna i rozwój prz'!G11+Oświata!G12+Administracja!G12+'Rolnictwo i Ochrona środowiska'!G11+'Kultura fizyczna i turystyka'!G13+'Planowanie przestrzenne'!G13</f>
        <v>218244826</v>
      </c>
      <c r="G13" s="53">
        <f>Drogi!H13+'Polityka społeczna i rozwój prz'!H11+Oświata!H12+Administracja!H12+'Rolnictwo i Ochrona środowiska'!H11+'Kultura fizyczna i turystyka'!H13+'Planowanie przestrzenne'!H13</f>
        <v>171407340</v>
      </c>
      <c r="H13" s="54">
        <f>Drogi!I13+'Polityka społeczna i rozwój prz'!I11+Oświata!I12+Administracja!I12+'Rolnictwo i Ochrona środowiska'!I11+'Kultura fizyczna i turystyka'!I13+'Planowanie przestrzenne'!I13</f>
        <v>972817509.28999984</v>
      </c>
      <c r="I13" s="52">
        <f>Drogi!J13+'Polityka społeczna i rozwój prz'!J11+Oświata!J12+Administracja!J12+'Rolnictwo i Ochrona środowiska'!J11+'Kultura fizyczna i turystyka'!J13+'Planowanie przestrzenne'!J13</f>
        <v>355667899</v>
      </c>
      <c r="J13" s="52">
        <f>Drogi!K13+'Polityka społeczna i rozwój prz'!K11+Oświata!K12+Administracja!K12+'Rolnictwo i Ochrona środowiska'!K11+'Kultura fizyczna i turystyka'!K13+'Planowanie przestrzenne'!K13</f>
        <v>227497444.28999999</v>
      </c>
      <c r="K13" s="52">
        <f>Drogi!L13+'Polityka społeczna i rozwój prz'!L11+Oświata!L12+Administracja!L12+'Rolnictwo i Ochrona środowiska'!L11+'Kultura fizyczna i turystyka'!L13+'Planowanie przestrzenne'!L13</f>
        <v>218244826</v>
      </c>
      <c r="L13" s="55">
        <f>Drogi!M13+'Polityka społeczna i rozwój prz'!M11+Oświata!M12+Administracja!M12+'Rolnictwo i Ochrona środowiska'!M11+'Kultura fizyczna i turystyka'!M13+'Planowanie przestrzenne'!M13</f>
        <v>171407340</v>
      </c>
      <c r="M13" s="54">
        <f>Drogi!N13+'Polityka społeczna i rozwój prz'!N11+Oświata!N12+Administracja!N12+'Rolnictwo i Ochrona środowiska'!N11+'Kultura fizyczna i turystyka'!N13+'Planowanie przestrzenne'!N13</f>
        <v>588147468.10000002</v>
      </c>
      <c r="N13" s="56">
        <f t="shared" si="5"/>
        <v>60.4479331169657</v>
      </c>
      <c r="O13" s="52">
        <f>Drogi!P13+'Polityka społeczna i rozwój prz'!P11+Oświata!P12+Administracja!P12+'Rolnictwo i Ochrona środowiska'!P11+'Kultura fizyczna i turystyka'!P13+'Planowanie przestrzenne'!P13</f>
        <v>4982124.8100000005</v>
      </c>
      <c r="P13" s="57">
        <f t="shared" si="6"/>
        <v>2.2828146267256759</v>
      </c>
      <c r="Q13" s="58">
        <f t="shared" si="4"/>
        <v>-49579081.689999998</v>
      </c>
    </row>
    <row r="14" spans="1:17" s="69" customFormat="1" ht="15" customHeight="1" x14ac:dyDescent="0.2">
      <c r="A14" s="2729"/>
      <c r="B14" s="59" t="s">
        <v>3</v>
      </c>
      <c r="C14" s="60">
        <f>+C15+C22</f>
        <v>1287393494</v>
      </c>
      <c r="D14" s="61">
        <f t="shared" ref="D14:M14" si="7">+D15+D22</f>
        <v>476129029</v>
      </c>
      <c r="E14" s="62">
        <f t="shared" si="7"/>
        <v>277827502</v>
      </c>
      <c r="F14" s="60">
        <f t="shared" si="7"/>
        <v>279097303</v>
      </c>
      <c r="G14" s="63">
        <f t="shared" si="7"/>
        <v>254339660</v>
      </c>
      <c r="H14" s="64">
        <f t="shared" si="7"/>
        <v>1283857102.3700001</v>
      </c>
      <c r="I14" s="60">
        <f t="shared" si="7"/>
        <v>476128869</v>
      </c>
      <c r="J14" s="60">
        <f t="shared" si="7"/>
        <v>274291270.36999995</v>
      </c>
      <c r="K14" s="60">
        <f t="shared" si="7"/>
        <v>279097303</v>
      </c>
      <c r="L14" s="65">
        <f t="shared" si="7"/>
        <v>254339660</v>
      </c>
      <c r="M14" s="64">
        <f t="shared" si="7"/>
        <v>765119078.03999996</v>
      </c>
      <c r="N14" s="66">
        <f t="shared" si="5"/>
        <v>59.431640877936573</v>
      </c>
      <c r="O14" s="60">
        <f>+O15+O22</f>
        <v>14698938.669999996</v>
      </c>
      <c r="P14" s="67">
        <f t="shared" si="6"/>
        <v>5.2666000394851524</v>
      </c>
      <c r="Q14" s="68">
        <f>+Q15+Q22</f>
        <v>-264398364.32999998</v>
      </c>
    </row>
    <row r="15" spans="1:17" s="78" customFormat="1" ht="15" customHeight="1" x14ac:dyDescent="0.2">
      <c r="A15" s="2729"/>
      <c r="B15" s="70" t="s">
        <v>4</v>
      </c>
      <c r="C15" s="71">
        <f>SUM(C16:C21)</f>
        <v>418987765</v>
      </c>
      <c r="D15" s="71">
        <f t="shared" ref="D15:L15" si="8">SUM(D16:D21)</f>
        <v>168810232</v>
      </c>
      <c r="E15" s="71">
        <f t="shared" si="8"/>
        <v>72057453</v>
      </c>
      <c r="F15" s="71">
        <f t="shared" si="8"/>
        <v>95263489</v>
      </c>
      <c r="G15" s="72">
        <f t="shared" si="8"/>
        <v>82856591</v>
      </c>
      <c r="H15" s="73">
        <f t="shared" si="8"/>
        <v>418816493.24000007</v>
      </c>
      <c r="I15" s="71">
        <f t="shared" si="8"/>
        <v>168810208</v>
      </c>
      <c r="J15" s="71">
        <f t="shared" si="8"/>
        <v>71886205.239999995</v>
      </c>
      <c r="K15" s="71">
        <f t="shared" si="8"/>
        <v>95263489</v>
      </c>
      <c r="L15" s="74">
        <f t="shared" si="8"/>
        <v>82856591</v>
      </c>
      <c r="M15" s="73">
        <f t="shared" ref="M15" si="9">SUM(M16:M21)</f>
        <v>244247953.67000005</v>
      </c>
      <c r="N15" s="75">
        <f t="shared" si="5"/>
        <v>58.294769936778479</v>
      </c>
      <c r="O15" s="71">
        <f t="shared" ref="O15" si="10">SUM(O16:O21)</f>
        <v>3551540.4299999997</v>
      </c>
      <c r="P15" s="76">
        <f t="shared" si="6"/>
        <v>3.7281234051799212</v>
      </c>
      <c r="Q15" s="77">
        <f>SUM(Q16:Q21)</f>
        <v>-91711948.569999993</v>
      </c>
    </row>
    <row r="16" spans="1:17" s="88" customFormat="1" ht="15.75" customHeight="1" x14ac:dyDescent="0.2">
      <c r="A16" s="2729"/>
      <c r="B16" s="79" t="s">
        <v>5</v>
      </c>
      <c r="C16" s="80">
        <f>Drogi!D16+'Polityka społeczna i rozwój prz'!D14+Oświata!D15+Administracja!D15+'Rolnictwo i Ochrona środowiska'!D14+'Kultura fizyczna i turystyka'!D16+'Planowanie przestrzenne'!D16</f>
        <v>158823716</v>
      </c>
      <c r="D16" s="81">
        <f>Drogi!E16+'Polityka społeczna i rozwój prz'!E14+Oświata!E15+Administracja!E15+'Rolnictwo i Ochrona środowiska'!E14+'Kultura fizyczna i turystyka'!E16+'Planowanie przestrzenne'!E16</f>
        <v>47313453</v>
      </c>
      <c r="E16" s="81">
        <f>Drogi!F16+'Polityka społeczna i rozwój prz'!F14+Oświata!F15+Administracja!F15+'Rolnictwo i Ochrona środowiska'!F14+'Kultura fizyczna i turystyka'!F16+'Planowanie przestrzenne'!F16</f>
        <v>26388364</v>
      </c>
      <c r="F16" s="81">
        <f>Drogi!G16+'Polityka społeczna i rozwój prz'!G14+Oświata!G15+Administracja!G15+'Rolnictwo i Ochrona środowiska'!G14+'Kultura fizyczna i turystyka'!G16+'Planowanie przestrzenne'!G16</f>
        <v>54618934</v>
      </c>
      <c r="G16" s="82">
        <f>Drogi!H16+'Polityka społeczna i rozwój prz'!H14+Oświata!H15+Administracja!H15+'Rolnictwo i Ochrona środowiska'!H14+'Kultura fizyczna i turystyka'!H16+'Planowanie przestrzenne'!H16</f>
        <v>30502965</v>
      </c>
      <c r="H16" s="83">
        <f>Drogi!I16+'Polityka społeczna i rozwój prz'!I14+Oświata!I15+Administracja!I15+'Rolnictwo i Ochrona środowiska'!I14+'Kultura fizyczna i turystyka'!I16+'Planowanie przestrzenne'!I16</f>
        <v>158770688.87000003</v>
      </c>
      <c r="I16" s="81">
        <f>Drogi!J16+'Polityka społeczna i rozwój prz'!J14+Oświata!J15+Administracja!J15+'Rolnictwo i Ochrona środowiska'!J14+'Kultura fizyczna i turystyka'!J16+'Planowanie przestrzenne'!J16</f>
        <v>47313429</v>
      </c>
      <c r="J16" s="81">
        <f>Drogi!K16+'Polityka społeczna i rozwój prz'!K14+Oświata!K15+Administracja!K15+'Rolnictwo i Ochrona środowiska'!K14+'Kultura fizyczna i turystyka'!K16+'Planowanie przestrzenne'!K16</f>
        <v>26335360.869999997</v>
      </c>
      <c r="K16" s="81">
        <f>Drogi!L16+'Polityka społeczna i rozwój prz'!L14+Oświata!L15+Administracja!L15+'Rolnictwo i Ochrona środowiska'!L14+'Kultura fizyczna i turystyka'!L16+'Planowanie przestrzenne'!L16</f>
        <v>54618934</v>
      </c>
      <c r="L16" s="84">
        <f>Drogi!M16+'Polityka społeczna i rozwój prz'!M14+Oświata!M15+Administracja!M15+'Rolnictwo i Ochrona środowiska'!M14+'Kultura fizyczna i turystyka'!M16+'Planowanie przestrzenne'!M16</f>
        <v>30502965</v>
      </c>
      <c r="M16" s="83">
        <f>Drogi!N16+'Polityka społeczna i rozwój prz'!N14+Oświata!N15+Administracja!N15+'Rolnictwo i Ochrona środowiska'!N14+'Kultura fizyczna i turystyka'!N16+'Planowanie przestrzenne'!N16</f>
        <v>75695896.000000015</v>
      </c>
      <c r="N16" s="85">
        <f t="shared" si="5"/>
        <v>47.660322970909469</v>
      </c>
      <c r="O16" s="81">
        <f>Drogi!P16+'Polityka społeczna i rozwój prz'!P14+Oświata!P15+Administracja!P15+'Rolnictwo i Ochrona środowiska'!P14+'Kultura fizyczna i turystyka'!P16+'Planowanie przestrzenne'!P16</f>
        <v>2047106.1300000001</v>
      </c>
      <c r="P16" s="86">
        <f t="shared" si="6"/>
        <v>3.7479789151505591</v>
      </c>
      <c r="Q16" s="87">
        <f>+O16-K16</f>
        <v>-52571827.869999997</v>
      </c>
    </row>
    <row r="17" spans="1:17" s="88" customFormat="1" ht="15.75" customHeight="1" x14ac:dyDescent="0.2">
      <c r="A17" s="2729"/>
      <c r="B17" s="89" t="s">
        <v>8</v>
      </c>
      <c r="C17" s="80">
        <f>Drogi!D17+'Polityka społeczna i rozwój prz'!D15+Administracja!D16+'Rolnictwo i Ochrona środowiska'!D15</f>
        <v>54207875</v>
      </c>
      <c r="D17" s="81">
        <f>Drogi!E17+'Polityka społeczna i rozwój prz'!E15+Administracja!E16+'Rolnictwo i Ochrona środowiska'!E15</f>
        <v>22663481</v>
      </c>
      <c r="E17" s="81">
        <f>Drogi!F17+'Polityka społeczna i rozwój prz'!F15+Administracja!F16+'Rolnictwo i Ochrona środowiska'!F15</f>
        <v>10256984</v>
      </c>
      <c r="F17" s="81">
        <f>Drogi!G17+'Polityka społeczna i rozwój prz'!G15+Administracja!G16+'Rolnictwo i Ochrona środowiska'!G15</f>
        <v>5337059</v>
      </c>
      <c r="G17" s="82">
        <f>Drogi!H17+'Polityka społeczna i rozwój prz'!H15+Administracja!H16+'Rolnictwo i Ochrona środowiska'!H15</f>
        <v>15950351</v>
      </c>
      <c r="H17" s="83">
        <f>Drogi!I17+'Polityka społeczna i rozwój prz'!I15+Administracja!I16+'Rolnictwo i Ochrona środowiska'!I15</f>
        <v>54127786.560000002</v>
      </c>
      <c r="I17" s="81">
        <f>Drogi!J17+'Polityka społeczna i rozwój prz'!J15+Administracja!J16+'Rolnictwo i Ochrona środowiska'!J15</f>
        <v>22663481</v>
      </c>
      <c r="J17" s="81">
        <f>Drogi!K17+'Polityka społeczna i rozwój prz'!K15+Administracja!K16+'Rolnictwo i Ochrona środowiska'!K15</f>
        <v>10176895.559999999</v>
      </c>
      <c r="K17" s="81">
        <f>Drogi!L17+'Polityka społeczna i rozwój prz'!L15+Administracja!L16+'Rolnictwo i Ochrona środowiska'!L15</f>
        <v>5337059</v>
      </c>
      <c r="L17" s="84">
        <f>Drogi!M17+'Polityka społeczna i rozwój prz'!M15+Administracja!M16+'Rolnictwo i Ochrona środowiska'!M15</f>
        <v>15950351</v>
      </c>
      <c r="M17" s="83">
        <f>Drogi!N17+'Polityka społeczna i rozwój prz'!N15+Administracja!N16+'Rolnictwo i Ochrona środowiska'!N15</f>
        <v>33119866.559999999</v>
      </c>
      <c r="N17" s="85">
        <f t="shared" si="5"/>
        <v>61.097887640863988</v>
      </c>
      <c r="O17" s="81">
        <f>Drogi!P17+'Polityka społeczna i rozwój prz'!P15+Administracja!P16+'Rolnictwo i Ochrona środowiska'!P15</f>
        <v>279490</v>
      </c>
      <c r="P17" s="86">
        <f t="shared" si="6"/>
        <v>5.2367792823725576</v>
      </c>
      <c r="Q17" s="87">
        <f t="shared" ref="Q17:Q21" si="11">+O17-K17</f>
        <v>-5057569</v>
      </c>
    </row>
    <row r="18" spans="1:17" s="88" customFormat="1" ht="16.5" customHeight="1" x14ac:dyDescent="0.2">
      <c r="A18" s="2729"/>
      <c r="B18" s="89" t="s">
        <v>9</v>
      </c>
      <c r="C18" s="80">
        <f>'Rolnictwo i Ochrona środowiska'!D16</f>
        <v>58470603</v>
      </c>
      <c r="D18" s="81">
        <f>'Rolnictwo i Ochrona środowiska'!E16</f>
        <v>29017479</v>
      </c>
      <c r="E18" s="81">
        <f>'Rolnictwo i Ochrona środowiska'!F16</f>
        <v>12782966</v>
      </c>
      <c r="F18" s="81">
        <f>'Rolnictwo i Ochrona środowiska'!G16</f>
        <v>8452000</v>
      </c>
      <c r="G18" s="82">
        <f>'Rolnictwo i Ochrona środowiska'!H16</f>
        <v>8218158</v>
      </c>
      <c r="H18" s="83">
        <f>'Rolnictwo i Ochrona środowiska'!I16</f>
        <v>58432446.870000005</v>
      </c>
      <c r="I18" s="81">
        <f>'Rolnictwo i Ochrona środowiska'!J16</f>
        <v>29017479</v>
      </c>
      <c r="J18" s="81">
        <f>'Rolnictwo i Ochrona środowiska'!K16</f>
        <v>12744809.870000001</v>
      </c>
      <c r="K18" s="81">
        <f>'Rolnictwo i Ochrona środowiska'!L16</f>
        <v>8452000</v>
      </c>
      <c r="L18" s="84">
        <f>'Rolnictwo i Ochrona środowiska'!M16</f>
        <v>8218158</v>
      </c>
      <c r="M18" s="83">
        <f>+'Rolnictwo i Ochrona środowiska'!N16</f>
        <v>42967820.909999996</v>
      </c>
      <c r="N18" s="85">
        <f t="shared" si="5"/>
        <v>73.486194267570653</v>
      </c>
      <c r="O18" s="81">
        <f>'Rolnictwo i Ochrona środowiska'!P16</f>
        <v>1205532.04</v>
      </c>
      <c r="P18" s="86">
        <f t="shared" si="6"/>
        <v>14.263275437766209</v>
      </c>
      <c r="Q18" s="87">
        <f t="shared" si="11"/>
        <v>-7246467.96</v>
      </c>
    </row>
    <row r="19" spans="1:17" s="88" customFormat="1" ht="15.75" customHeight="1" x14ac:dyDescent="0.2">
      <c r="A19" s="2729"/>
      <c r="B19" s="89" t="s">
        <v>10</v>
      </c>
      <c r="C19" s="91">
        <f>Drogi!D18</f>
        <v>16413791</v>
      </c>
      <c r="D19" s="92">
        <f>Drogi!E18</f>
        <v>12750783</v>
      </c>
      <c r="E19" s="92">
        <f>Drogi!F18</f>
        <v>3663008</v>
      </c>
      <c r="F19" s="92">
        <f>Drogi!G18</f>
        <v>0</v>
      </c>
      <c r="G19" s="93">
        <f>Drogi!H18</f>
        <v>0</v>
      </c>
      <c r="H19" s="94">
        <f>Drogi!I18</f>
        <v>16413791.07</v>
      </c>
      <c r="I19" s="92">
        <f>Drogi!J18</f>
        <v>12750783</v>
      </c>
      <c r="J19" s="92">
        <f>Drogi!K18</f>
        <v>3663008.07</v>
      </c>
      <c r="K19" s="95">
        <f>Drogi!L18</f>
        <v>0</v>
      </c>
      <c r="L19" s="96">
        <f>Drogi!M18</f>
        <v>0</v>
      </c>
      <c r="M19" s="97">
        <f>Drogi!N18</f>
        <v>16413791.07</v>
      </c>
      <c r="N19" s="85">
        <f t="shared" si="5"/>
        <v>100.00000042647063</v>
      </c>
      <c r="O19" s="95">
        <f>Drogi!P18</f>
        <v>0</v>
      </c>
      <c r="P19" s="98">
        <v>0</v>
      </c>
      <c r="Q19" s="99">
        <f t="shared" si="11"/>
        <v>0</v>
      </c>
    </row>
    <row r="20" spans="1:17" s="88" customFormat="1" ht="15.75" customHeight="1" x14ac:dyDescent="0.2">
      <c r="A20" s="2729"/>
      <c r="B20" s="89" t="s">
        <v>11</v>
      </c>
      <c r="C20" s="91">
        <f>Drogi!D19+'Rolnictwo i Ochrona środowiska'!D17</f>
        <v>56040780</v>
      </c>
      <c r="D20" s="91">
        <f>Drogi!E19+'Rolnictwo i Ochrona środowiska'!E17</f>
        <v>0</v>
      </c>
      <c r="E20" s="91">
        <f>Drogi!F19+'Rolnictwo i Ochrona środowiska'!F17</f>
        <v>3801777</v>
      </c>
      <c r="F20" s="91">
        <f>Drogi!G19+'Rolnictwo i Ochrona środowiska'!G17</f>
        <v>25036040</v>
      </c>
      <c r="G20" s="100">
        <f>Drogi!H19+'Rolnictwo i Ochrona środowiska'!H17</f>
        <v>27202963</v>
      </c>
      <c r="H20" s="94">
        <f>Drogi!I19+'Rolnictwo i Ochrona środowiska'!I17</f>
        <v>56040779.859999999</v>
      </c>
      <c r="I20" s="101">
        <f>Drogi!J19+'Rolnictwo i Ochrona środowiska'!J17</f>
        <v>0</v>
      </c>
      <c r="J20" s="91">
        <f>Drogi!K19+'Rolnictwo i Ochrona środowiska'!K17</f>
        <v>3801776.86</v>
      </c>
      <c r="K20" s="91">
        <f>Drogi!L19+'Rolnictwo i Ochrona środowiska'!L17</f>
        <v>25036040</v>
      </c>
      <c r="L20" s="102">
        <f>Drogi!M19+'Rolnictwo i Ochrona środowiska'!M17</f>
        <v>27202963</v>
      </c>
      <c r="M20" s="94">
        <f>Drogi!N19+'Rolnictwo i Ochrona środowiska'!N17</f>
        <v>3801776.86</v>
      </c>
      <c r="N20" s="85">
        <f t="shared" si="5"/>
        <v>6.7839470828207595</v>
      </c>
      <c r="O20" s="91">
        <f>Drogi!P19+'Rolnictwo i Ochrona środowiska'!P17</f>
        <v>0</v>
      </c>
      <c r="P20" s="86">
        <f t="shared" si="6"/>
        <v>0</v>
      </c>
      <c r="Q20" s="99">
        <f t="shared" si="11"/>
        <v>-25036040</v>
      </c>
    </row>
    <row r="21" spans="1:17" s="88" customFormat="1" ht="15.75" customHeight="1" x14ac:dyDescent="0.2">
      <c r="A21" s="2729"/>
      <c r="B21" s="89" t="s">
        <v>12</v>
      </c>
      <c r="C21" s="103">
        <f>Drogi!D39</f>
        <v>75031000</v>
      </c>
      <c r="D21" s="91">
        <f>Drogi!E39</f>
        <v>57065036</v>
      </c>
      <c r="E21" s="104">
        <f>Drogi!F39</f>
        <v>15164354</v>
      </c>
      <c r="F21" s="91">
        <f>Drogi!G39</f>
        <v>1819456</v>
      </c>
      <c r="G21" s="100">
        <f>Drogi!H39</f>
        <v>982154</v>
      </c>
      <c r="H21" s="105">
        <f>Drogi!I39</f>
        <v>75031000.010000005</v>
      </c>
      <c r="I21" s="91">
        <f>Drogi!J39</f>
        <v>57065036</v>
      </c>
      <c r="J21" s="104">
        <f>Drogi!K39</f>
        <v>15164354.01</v>
      </c>
      <c r="K21" s="91">
        <f>Drogi!L39</f>
        <v>1819456</v>
      </c>
      <c r="L21" s="102">
        <f>Drogi!M39</f>
        <v>982154</v>
      </c>
      <c r="M21" s="94">
        <f>Drogi!N39</f>
        <v>72248802.270000011</v>
      </c>
      <c r="N21" s="85">
        <f t="shared" si="5"/>
        <v>96.291935693246813</v>
      </c>
      <c r="O21" s="91">
        <f>Drogi!P39</f>
        <v>19412.259999999998</v>
      </c>
      <c r="P21" s="86">
        <f t="shared" si="6"/>
        <v>1.0669265978402336</v>
      </c>
      <c r="Q21" s="99">
        <f t="shared" si="11"/>
        <v>-1800043.74</v>
      </c>
    </row>
    <row r="22" spans="1:17" s="88" customFormat="1" ht="13.5" customHeight="1" x14ac:dyDescent="0.2">
      <c r="A22" s="2729"/>
      <c r="B22" s="106" t="s">
        <v>13</v>
      </c>
      <c r="C22" s="107">
        <f>SUM(C23:C26)</f>
        <v>868405729</v>
      </c>
      <c r="D22" s="107">
        <f t="shared" ref="D22:M22" si="12">SUM(D23:D26)</f>
        <v>307318797</v>
      </c>
      <c r="E22" s="107">
        <f t="shared" si="12"/>
        <v>205770049</v>
      </c>
      <c r="F22" s="107">
        <f t="shared" si="12"/>
        <v>183833814</v>
      </c>
      <c r="G22" s="108">
        <f t="shared" si="12"/>
        <v>171483069</v>
      </c>
      <c r="H22" s="109">
        <f t="shared" si="12"/>
        <v>865040609.13</v>
      </c>
      <c r="I22" s="107">
        <f t="shared" si="12"/>
        <v>307318661</v>
      </c>
      <c r="J22" s="107">
        <f t="shared" si="12"/>
        <v>202405065.12999997</v>
      </c>
      <c r="K22" s="107">
        <f t="shared" si="12"/>
        <v>183833814</v>
      </c>
      <c r="L22" s="110">
        <f t="shared" si="12"/>
        <v>171483069</v>
      </c>
      <c r="M22" s="109">
        <f t="shared" si="12"/>
        <v>520871124.36999995</v>
      </c>
      <c r="N22" s="111">
        <f t="shared" si="5"/>
        <v>59.980157543387179</v>
      </c>
      <c r="O22" s="107">
        <f>SUM(O23:O26)</f>
        <v>11147398.239999996</v>
      </c>
      <c r="P22" s="112">
        <f t="shared" si="6"/>
        <v>6.0638453815683748</v>
      </c>
      <c r="Q22" s="113">
        <f>SUM(Q24:Q26)</f>
        <v>-172686415.75999999</v>
      </c>
    </row>
    <row r="23" spans="1:17" s="88" customFormat="1" ht="13.5" customHeight="1" x14ac:dyDescent="0.2">
      <c r="A23" s="2729"/>
      <c r="B23" s="89" t="s">
        <v>5</v>
      </c>
      <c r="C23" s="91">
        <f>'Rolnictwo i Ochrona środowiska'!D19</f>
        <v>4156816</v>
      </c>
      <c r="D23" s="91">
        <f>'Rolnictwo i Ochrona środowiska'!E19</f>
        <v>4156816</v>
      </c>
      <c r="E23" s="91">
        <f>'Rolnictwo i Ochrona środowiska'!F19</f>
        <v>0</v>
      </c>
      <c r="F23" s="91">
        <f>'Rolnictwo i Ochrona środowiska'!G19</f>
        <v>0</v>
      </c>
      <c r="G23" s="100">
        <f>'Rolnictwo i Ochrona środowiska'!H19</f>
        <v>0</v>
      </c>
      <c r="H23" s="94">
        <f>'Rolnictwo i Ochrona środowiska'!I19</f>
        <v>4156816</v>
      </c>
      <c r="I23" s="91">
        <f>'Rolnictwo i Ochrona środowiska'!J19</f>
        <v>4156816</v>
      </c>
      <c r="J23" s="101">
        <f>'Rolnictwo i Ochrona środowiska'!K19</f>
        <v>0</v>
      </c>
      <c r="K23" s="101">
        <f>'Rolnictwo i Ochrona środowiska'!L19</f>
        <v>0</v>
      </c>
      <c r="L23" s="98">
        <f>'Rolnictwo i Ochrona środowiska'!M19</f>
        <v>0</v>
      </c>
      <c r="M23" s="94">
        <f>'Rolnictwo i Ochrona środowiska'!N19</f>
        <v>4156816</v>
      </c>
      <c r="N23" s="85">
        <f t="shared" si="5"/>
        <v>100</v>
      </c>
      <c r="O23" s="101">
        <f>'Rolnictwo i Ochrona środowiska'!P19</f>
        <v>0</v>
      </c>
      <c r="P23" s="98">
        <v>0</v>
      </c>
      <c r="Q23" s="87"/>
    </row>
    <row r="24" spans="1:17" s="88" customFormat="1" ht="16.5" customHeight="1" x14ac:dyDescent="0.2">
      <c r="A24" s="2729"/>
      <c r="B24" s="89" t="s">
        <v>14</v>
      </c>
      <c r="C24" s="91">
        <f>Drogi!D23+Oświata!D17+'Rolnictwo i Ochrona środowiska'!D22</f>
        <v>34390163</v>
      </c>
      <c r="D24" s="91">
        <f>Drogi!E23+Oświata!E17+'Rolnictwo i Ochrona środowiska'!E22</f>
        <v>7581980</v>
      </c>
      <c r="E24" s="91">
        <f>Drogi!F23+Oświata!F17+'Rolnictwo i Ochrona środowiska'!F22</f>
        <v>11277200</v>
      </c>
      <c r="F24" s="91">
        <f>Drogi!G23+Oświata!G17+'Rolnictwo i Ochrona środowiska'!G22</f>
        <v>1287255</v>
      </c>
      <c r="G24" s="100">
        <f>Drogi!H23+Oświata!H17+'Rolnictwo i Ochrona środowiska'!H22</f>
        <v>14243728</v>
      </c>
      <c r="H24" s="94">
        <f>Drogi!I23+Oświata!I17+'Rolnictwo i Ochrona środowiska'!I22</f>
        <v>34283565.730000004</v>
      </c>
      <c r="I24" s="91">
        <f>Drogi!J23+Oświata!J17+'Rolnictwo i Ochrona środowiska'!J22</f>
        <v>7581844</v>
      </c>
      <c r="J24" s="91">
        <f>Drogi!K23+Oświata!K17+'Rolnictwo i Ochrona środowiska'!K22</f>
        <v>11170738.73</v>
      </c>
      <c r="K24" s="91">
        <f>Drogi!L23+Oświata!L17+'Rolnictwo i Ochrona środowiska'!L22</f>
        <v>1287255</v>
      </c>
      <c r="L24" s="102">
        <f>Drogi!M23+Oświata!M17+'Rolnictwo i Ochrona środowiska'!M22</f>
        <v>14243728</v>
      </c>
      <c r="M24" s="94">
        <f>Drogi!N23+Oświata!N17+'Rolnictwo i Ochrona środowiska'!N22</f>
        <v>18762476.850000001</v>
      </c>
      <c r="N24" s="85">
        <f t="shared" si="5"/>
        <v>54.557685143859317</v>
      </c>
      <c r="O24" s="91">
        <f>Drogi!P23+Oświata!P17+'Rolnictwo i Ochrona środowiska'!P22</f>
        <v>9894.119999999999</v>
      </c>
      <c r="P24" s="86">
        <f t="shared" si="6"/>
        <v>0.76862160178053296</v>
      </c>
      <c r="Q24" s="87">
        <f>+O24-K24</f>
        <v>-1277360.8799999999</v>
      </c>
    </row>
    <row r="25" spans="1:17" s="88" customFormat="1" ht="16.5" customHeight="1" x14ac:dyDescent="0.2">
      <c r="A25" s="2729"/>
      <c r="B25" s="89" t="s">
        <v>9</v>
      </c>
      <c r="C25" s="91">
        <f>+'Rolnictwo i Ochrona środowiska'!D21</f>
        <v>47227515</v>
      </c>
      <c r="D25" s="92">
        <f>+'Rolnictwo i Ochrona środowiska'!E21</f>
        <v>31284995</v>
      </c>
      <c r="E25" s="93">
        <f>+'Rolnictwo i Ochrona środowiska'!F21</f>
        <v>3867520</v>
      </c>
      <c r="F25" s="91">
        <f>+'Rolnictwo i Ochrona środowiska'!G21</f>
        <v>5700000</v>
      </c>
      <c r="G25" s="93">
        <f>+'Rolnictwo i Ochrona środowiska'!H21</f>
        <v>6375000</v>
      </c>
      <c r="H25" s="94">
        <f>+'Rolnictwo i Ochrona środowiska'!I21</f>
        <v>47113207.549999997</v>
      </c>
      <c r="I25" s="91">
        <f>+'Rolnictwo i Ochrona środowiska'!J21</f>
        <v>31284995</v>
      </c>
      <c r="J25" s="91">
        <f>+'Rolnictwo i Ochrona środowiska'!K21</f>
        <v>3753212.55</v>
      </c>
      <c r="K25" s="91">
        <f>+'Rolnictwo i Ochrona środowiska'!L21</f>
        <v>5700000</v>
      </c>
      <c r="L25" s="102">
        <f>+'Rolnictwo i Ochrona środowiska'!M21</f>
        <v>6375000</v>
      </c>
      <c r="M25" s="94">
        <f>+'Rolnictwo i Ochrona środowiska'!N21</f>
        <v>35870090.549999997</v>
      </c>
      <c r="N25" s="85">
        <f>M25/C25*100</f>
        <v>75.951678910059101</v>
      </c>
      <c r="O25" s="91">
        <f>+'Rolnictwo i Ochrona środowiska'!P21</f>
        <v>831883</v>
      </c>
      <c r="P25" s="86">
        <f t="shared" si="6"/>
        <v>14.594438596491226</v>
      </c>
      <c r="Q25" s="87">
        <f>+O25-K25</f>
        <v>-4868117</v>
      </c>
    </row>
    <row r="26" spans="1:17" s="88" customFormat="1" ht="16.5" customHeight="1" x14ac:dyDescent="0.2">
      <c r="A26" s="2729"/>
      <c r="B26" s="89" t="s">
        <v>15</v>
      </c>
      <c r="C26" s="91">
        <f>Drogi!D24+'Polityka społeczna i rozwój prz'!D17+Administracja!D18+'Rolnictwo i Ochrona środowiska'!D20+'Kultura fizyczna i turystyka'!D18+'Planowanie przestrzenne'!D18</f>
        <v>782631235</v>
      </c>
      <c r="D26" s="91">
        <f>Drogi!E24+'Polityka społeczna i rozwój prz'!E17+Administracja!E18+'Rolnictwo i Ochrona środowiska'!E20+'Kultura fizyczna i turystyka'!E18+'Planowanie przestrzenne'!E18</f>
        <v>264295006</v>
      </c>
      <c r="E26" s="91">
        <f>Drogi!F24+'Polityka społeczna i rozwój prz'!F17+Administracja!F18+'Rolnictwo i Ochrona środowiska'!F20+'Kultura fizyczna i turystyka'!F18+'Planowanie przestrzenne'!F18</f>
        <v>190625329</v>
      </c>
      <c r="F26" s="91">
        <f>Drogi!G24+'Polityka społeczna i rozwój prz'!G17+Administracja!G18+'Rolnictwo i Ochrona środowiska'!G20+'Kultura fizyczna i turystyka'!G18+'Planowanie przestrzenne'!G18</f>
        <v>176846559</v>
      </c>
      <c r="G26" s="100">
        <f>Drogi!H24+'Polityka społeczna i rozwój prz'!H17+Administracja!H18+'Rolnictwo i Ochrona środowiska'!H20+'Kultura fizyczna i turystyka'!H18+'Planowanie przestrzenne'!H18</f>
        <v>150864341</v>
      </c>
      <c r="H26" s="94">
        <f>Drogi!I24+'Polityka społeczna i rozwój prz'!I17+Administracja!I18+'Rolnictwo i Ochrona środowiska'!I20+'Kultura fizyczna i turystyka'!I18+'Planowanie przestrzenne'!I18</f>
        <v>779487019.85000002</v>
      </c>
      <c r="I26" s="91">
        <f>Drogi!J24+'Polityka społeczna i rozwój prz'!J17+Administracja!J18+'Rolnictwo i Ochrona środowiska'!J20+'Kultura fizyczna i turystyka'!J18+'Planowanie przestrzenne'!J18</f>
        <v>264295006</v>
      </c>
      <c r="J26" s="91">
        <f>Drogi!K24+'Polityka społeczna i rozwój prz'!K17+Administracja!K18+'Rolnictwo i Ochrona środowiska'!K20+'Kultura fizyczna i turystyka'!K18+'Planowanie przestrzenne'!K18</f>
        <v>187481113.84999996</v>
      </c>
      <c r="K26" s="91">
        <f>Drogi!L24+'Polityka społeczna i rozwój prz'!L17+Administracja!L18+'Rolnictwo i Ochrona środowiska'!L20+'Kultura fizyczna i turystyka'!L18+'Planowanie przestrzenne'!L18</f>
        <v>176846559</v>
      </c>
      <c r="L26" s="102">
        <f>Drogi!M24+'Polityka społeczna i rozwój prz'!M17+Administracja!M18+'Rolnictwo i Ochrona środowiska'!M20+'Kultura fizyczna i turystyka'!M18+'Planowanie przestrzenne'!M18</f>
        <v>150864341</v>
      </c>
      <c r="M26" s="94">
        <f>Drogi!N24+'Polityka społeczna i rozwój prz'!N17+Administracja!N18+'Rolnictwo i Ochrona środowiska'!N20+'Kultura fizyczna i turystyka'!N18+'Planowanie przestrzenne'!N18</f>
        <v>462081740.96999997</v>
      </c>
      <c r="N26" s="85">
        <f t="shared" si="5"/>
        <v>59.042077584598317</v>
      </c>
      <c r="O26" s="91">
        <f>Drogi!P24+'Polityka społeczna i rozwój prz'!P17+Administracja!P18+'Rolnictwo i Ochrona środowiska'!P20+'Kultura fizyczna i turystyka'!P18+'Planowanie przestrzenne'!P18</f>
        <v>10305621.119999997</v>
      </c>
      <c r="P26" s="86">
        <f t="shared" si="6"/>
        <v>5.827436608478199</v>
      </c>
      <c r="Q26" s="87">
        <f>+O26-K26</f>
        <v>-166540937.88</v>
      </c>
    </row>
    <row r="27" spans="1:17" s="124" customFormat="1" ht="15.75" customHeight="1" x14ac:dyDescent="0.2">
      <c r="A27" s="2729"/>
      <c r="B27" s="114" t="s">
        <v>17</v>
      </c>
      <c r="C27" s="115">
        <f>+C28+C35</f>
        <v>1130841750</v>
      </c>
      <c r="D27" s="116">
        <f t="shared" ref="D27:M27" si="13">+D28+D35</f>
        <v>389444481</v>
      </c>
      <c r="E27" s="117">
        <f t="shared" si="13"/>
        <v>272699418</v>
      </c>
      <c r="F27" s="115">
        <f t="shared" si="13"/>
        <v>249748498</v>
      </c>
      <c r="G27" s="118">
        <f t="shared" si="13"/>
        <v>218949353</v>
      </c>
      <c r="H27" s="119">
        <f t="shared" si="13"/>
        <v>1128502526.01</v>
      </c>
      <c r="I27" s="115">
        <f>+I28+I35</f>
        <v>389426634</v>
      </c>
      <c r="J27" s="115">
        <f t="shared" si="13"/>
        <v>270512359.00999999</v>
      </c>
      <c r="K27" s="115">
        <f>+K28+K35</f>
        <v>249614180</v>
      </c>
      <c r="L27" s="120">
        <f>+L28+L35</f>
        <v>218949353</v>
      </c>
      <c r="M27" s="119">
        <f t="shared" si="13"/>
        <v>680404549.00999999</v>
      </c>
      <c r="N27" s="121">
        <f t="shared" si="5"/>
        <v>60.167972133147721</v>
      </c>
      <c r="O27" s="115">
        <f>+O28+O35</f>
        <v>20465556</v>
      </c>
      <c r="P27" s="122">
        <f t="shared" si="6"/>
        <v>8.1944660984507696</v>
      </c>
      <c r="Q27" s="123">
        <f>+Q28+Q35</f>
        <v>-229148624</v>
      </c>
    </row>
    <row r="28" spans="1:17" s="88" customFormat="1" ht="15" customHeight="1" x14ac:dyDescent="0.2">
      <c r="A28" s="2729"/>
      <c r="B28" s="106" t="s">
        <v>18</v>
      </c>
      <c r="C28" s="107">
        <f>SUM(C29:C34)</f>
        <v>262267715</v>
      </c>
      <c r="D28" s="107">
        <f t="shared" ref="D28:F28" si="14">SUM(D29:D34)</f>
        <v>125513731</v>
      </c>
      <c r="E28" s="107">
        <f t="shared" si="14"/>
        <v>58096763</v>
      </c>
      <c r="F28" s="107">
        <f t="shared" si="14"/>
        <v>32561494</v>
      </c>
      <c r="G28" s="108">
        <f>SUM(G29:G34)</f>
        <v>46095727</v>
      </c>
      <c r="H28" s="109">
        <f t="shared" ref="H28:O28" si="15">SUM(H29:H34)</f>
        <v>262328838.08999997</v>
      </c>
      <c r="I28" s="107">
        <f t="shared" si="15"/>
        <v>125513731</v>
      </c>
      <c r="J28" s="107">
        <f t="shared" si="15"/>
        <v>58157886.090000004</v>
      </c>
      <c r="K28" s="107">
        <f t="shared" si="15"/>
        <v>32561494</v>
      </c>
      <c r="L28" s="110">
        <f t="shared" si="15"/>
        <v>46095727</v>
      </c>
      <c r="M28" s="109">
        <f t="shared" si="15"/>
        <v>186233613.09</v>
      </c>
      <c r="N28" s="75">
        <f t="shared" si="5"/>
        <v>71.008973822797827</v>
      </c>
      <c r="O28" s="107">
        <f t="shared" si="15"/>
        <v>2561996</v>
      </c>
      <c r="P28" s="76">
        <f t="shared" si="6"/>
        <v>7.8681770560036348</v>
      </c>
      <c r="Q28" s="113">
        <f>SUM(Q29:Q34)</f>
        <v>-29999498</v>
      </c>
    </row>
    <row r="29" spans="1:17" s="88" customFormat="1" ht="15" customHeight="1" x14ac:dyDescent="0.2">
      <c r="A29" s="2729"/>
      <c r="B29" s="89" t="s">
        <v>8</v>
      </c>
      <c r="C29" s="80">
        <f>Drogi!D27+'Polityka społeczna i rozwój prz'!D20+Administracja!D21+'Rolnictwo i Ochrona środowiska'!D25</f>
        <v>54207875</v>
      </c>
      <c r="D29" s="80">
        <f>Drogi!E27+'Polityka społeczna i rozwój prz'!E20+Administracja!E21+'Rolnictwo i Ochrona środowiska'!E25</f>
        <v>23576683</v>
      </c>
      <c r="E29" s="80">
        <f>Drogi!F27+'Polityka społeczna i rozwój prz'!F20+Administracja!F21+'Rolnictwo i Ochrona środowiska'!F25</f>
        <v>9332852</v>
      </c>
      <c r="F29" s="80">
        <f>Drogi!G27+'Polityka społeczna i rozwój prz'!G20+Administracja!G21+'Rolnictwo i Ochrona środowiska'!G25</f>
        <v>5337059</v>
      </c>
      <c r="G29" s="125">
        <f>Drogi!H27+'Polityka społeczna i rozwój prz'!H20+Administracja!H21+'Rolnictwo i Ochrona środowiska'!H25</f>
        <v>15961281</v>
      </c>
      <c r="H29" s="83">
        <f>Drogi!I27+'Polityka społeczna i rozwój prz'!I20+Administracja!I21+'Rolnictwo i Ochrona środowiska'!I25</f>
        <v>54130340.25</v>
      </c>
      <c r="I29" s="80">
        <f>Drogi!J27+'Polityka społeczna i rozwój prz'!J20+Administracja!J21+'Rolnictwo i Ochrona środowiska'!J25</f>
        <v>23576683</v>
      </c>
      <c r="J29" s="80">
        <f>Drogi!K27+'Polityka społeczna i rozwój prz'!K20+Administracja!K21+'Rolnictwo i Ochrona środowiska'!K25</f>
        <v>9255317.25</v>
      </c>
      <c r="K29" s="80">
        <f>Drogi!L27+'Polityka społeczna i rozwój prz'!L20+Administracja!L21+'Rolnictwo i Ochrona środowiska'!L25</f>
        <v>5337059</v>
      </c>
      <c r="L29" s="126">
        <f>Drogi!M27+'Polityka społeczna i rozwój prz'!M20+Administracja!M21+'Rolnictwo i Ochrona środowiska'!M25</f>
        <v>15961281</v>
      </c>
      <c r="M29" s="83">
        <f>Drogi!N27+'Polityka społeczna i rozwój prz'!N20+Administracja!N21+'Rolnictwo i Ochrona środowiska'!N25</f>
        <v>33243224.25</v>
      </c>
      <c r="N29" s="85">
        <f t="shared" si="5"/>
        <v>61.325451790906762</v>
      </c>
      <c r="O29" s="80">
        <f>Drogi!P27+'Polityka społeczna i rozwój prz'!P20+Administracja!P21+'Rolnictwo i Ochrona środowiska'!P25</f>
        <v>411224</v>
      </c>
      <c r="P29" s="86">
        <f t="shared" si="6"/>
        <v>7.7050675287644381</v>
      </c>
      <c r="Q29" s="87">
        <f t="shared" ref="Q29:Q34" si="16">+O29-K29</f>
        <v>-4925835</v>
      </c>
    </row>
    <row r="30" spans="1:17" s="88" customFormat="1" ht="17.25" customHeight="1" x14ac:dyDescent="0.2">
      <c r="A30" s="2729"/>
      <c r="B30" s="89" t="s">
        <v>9</v>
      </c>
      <c r="C30" s="127">
        <f>+'Rolnictwo i Ochrona środowiska'!D26</f>
        <v>58470603</v>
      </c>
      <c r="D30" s="128">
        <f>+'Rolnictwo i Ochrona środowiska'!E26</f>
        <v>29017479</v>
      </c>
      <c r="E30" s="129">
        <f>+'Rolnictwo i Ochrona środowiska'!F26</f>
        <v>12782966</v>
      </c>
      <c r="F30" s="80">
        <f>+'Rolnictwo i Ochrona środowiska'!G26</f>
        <v>8452000</v>
      </c>
      <c r="G30" s="129">
        <f>+'Rolnictwo i Ochrona środowiska'!H26</f>
        <v>8218158</v>
      </c>
      <c r="H30" s="83">
        <f>+'Rolnictwo i Ochrona środowiska'!I26</f>
        <v>58432447.890000001</v>
      </c>
      <c r="I30" s="80">
        <f>+'Rolnictwo i Ochrona środowiska'!J26</f>
        <v>29017479</v>
      </c>
      <c r="J30" s="80">
        <f>+'Rolnictwo i Ochrona środowiska'!K26</f>
        <v>12744810.890000001</v>
      </c>
      <c r="K30" s="80">
        <f>+'Rolnictwo i Ochrona środowiska'!L26</f>
        <v>8452000</v>
      </c>
      <c r="L30" s="126">
        <f>+'Rolnictwo i Ochrona środowiska'!M26</f>
        <v>8218158</v>
      </c>
      <c r="M30" s="83">
        <f>+'Rolnictwo i Ochrona środowiska'!N26</f>
        <v>43090525.890000001</v>
      </c>
      <c r="N30" s="85">
        <f t="shared" si="5"/>
        <v>73.696051826248492</v>
      </c>
      <c r="O30" s="80">
        <f>+'Rolnictwo i Ochrona środowiska'!P26</f>
        <v>1328236</v>
      </c>
      <c r="P30" s="86">
        <f t="shared" si="6"/>
        <v>15.7150496923805</v>
      </c>
      <c r="Q30" s="87">
        <f t="shared" si="16"/>
        <v>-7123764</v>
      </c>
    </row>
    <row r="31" spans="1:17" s="88" customFormat="1" ht="16.5" customHeight="1" x14ac:dyDescent="0.2">
      <c r="A31" s="2729"/>
      <c r="B31" s="89" t="s">
        <v>10</v>
      </c>
      <c r="C31" s="80">
        <f>+Drogi!D28</f>
        <v>17213791</v>
      </c>
      <c r="D31" s="80">
        <f>+Drogi!E28</f>
        <v>12750783</v>
      </c>
      <c r="E31" s="80">
        <f>+Drogi!F28</f>
        <v>3663008</v>
      </c>
      <c r="F31" s="80">
        <f>+Drogi!G28</f>
        <v>800000</v>
      </c>
      <c r="G31" s="125">
        <f>+Drogi!H28</f>
        <v>0</v>
      </c>
      <c r="H31" s="83">
        <f>+Drogi!I28</f>
        <v>17213791</v>
      </c>
      <c r="I31" s="80">
        <f>+Drogi!J28</f>
        <v>12750783</v>
      </c>
      <c r="J31" s="80">
        <f>+Drogi!K28</f>
        <v>3663008</v>
      </c>
      <c r="K31" s="80">
        <f>+Drogi!L28</f>
        <v>800000</v>
      </c>
      <c r="L31" s="126">
        <f>+Drogi!M28</f>
        <v>0</v>
      </c>
      <c r="M31" s="83">
        <f>+Drogi!N28</f>
        <v>16413791</v>
      </c>
      <c r="N31" s="85">
        <f t="shared" si="5"/>
        <v>95.352563534668221</v>
      </c>
      <c r="O31" s="80">
        <f>+Drogi!P28</f>
        <v>0</v>
      </c>
      <c r="P31" s="86">
        <f t="shared" si="6"/>
        <v>0</v>
      </c>
      <c r="Q31" s="87">
        <f t="shared" si="16"/>
        <v>-800000</v>
      </c>
    </row>
    <row r="32" spans="1:17" s="88" customFormat="1" ht="15" customHeight="1" x14ac:dyDescent="0.2">
      <c r="A32" s="2729"/>
      <c r="B32" s="89" t="s">
        <v>11</v>
      </c>
      <c r="C32" s="91">
        <f>+Drogi!D29+'Rolnictwo i Ochrona środowiska'!D27</f>
        <v>56040780</v>
      </c>
      <c r="D32" s="92">
        <f>+Drogi!E29+'Rolnictwo i Ochrona środowiska'!E27</f>
        <v>14488536</v>
      </c>
      <c r="E32" s="93">
        <f>+Drogi!F29+'Rolnictwo i Ochrona środowiska'!F27</f>
        <v>10051777</v>
      </c>
      <c r="F32" s="91">
        <f>+Drogi!G29+'Rolnictwo i Ochrona środowiska'!G27</f>
        <v>11286040</v>
      </c>
      <c r="G32" s="93">
        <f>+Drogi!H29+'Rolnictwo i Ochrona środowiska'!H27</f>
        <v>20214427</v>
      </c>
      <c r="H32" s="94">
        <f>+Drogi!I29+'Rolnictwo i Ochrona środowiska'!I27</f>
        <v>56040780</v>
      </c>
      <c r="I32" s="91">
        <f>+Drogi!J29+'Rolnictwo i Ochrona środowiska'!J27</f>
        <v>14488536</v>
      </c>
      <c r="J32" s="91">
        <f>+Drogi!K29+'Rolnictwo i Ochrona środowiska'!K27</f>
        <v>10051777</v>
      </c>
      <c r="K32" s="91">
        <f>+Drogi!L29+'Rolnictwo i Ochrona środowiska'!L27</f>
        <v>11286040</v>
      </c>
      <c r="L32" s="102">
        <f>+Drogi!M29+'Rolnictwo i Ochrona środowiska'!M27</f>
        <v>20214427</v>
      </c>
      <c r="M32" s="94">
        <f>+Drogi!N29+'Rolnictwo i Ochrona środowiska'!N27</f>
        <v>24540313</v>
      </c>
      <c r="N32" s="85">
        <f t="shared" si="5"/>
        <v>43.790098924390421</v>
      </c>
      <c r="O32" s="91">
        <f>+Drogi!P29+'Rolnictwo i Ochrona środowiska'!P27</f>
        <v>0</v>
      </c>
      <c r="P32" s="86">
        <f t="shared" si="6"/>
        <v>0</v>
      </c>
      <c r="Q32" s="87">
        <f t="shared" si="16"/>
        <v>-11286040</v>
      </c>
    </row>
    <row r="33" spans="1:17" s="88" customFormat="1" ht="15" customHeight="1" x14ac:dyDescent="0.2">
      <c r="A33" s="2729"/>
      <c r="B33" s="89" t="s">
        <v>23</v>
      </c>
      <c r="C33" s="91">
        <f>+'Rolnictwo i Ochrona środowiska'!D28</f>
        <v>1303666</v>
      </c>
      <c r="D33" s="91">
        <f>+'Rolnictwo i Ochrona środowiska'!E28</f>
        <v>1023666</v>
      </c>
      <c r="E33" s="91">
        <f>+'Rolnictwo i Ochrona środowiska'!F28</f>
        <v>280000</v>
      </c>
      <c r="F33" s="91">
        <f>+'Rolnictwo i Ochrona środowiska'!G28</f>
        <v>0</v>
      </c>
      <c r="G33" s="100">
        <f>+'Rolnictwo i Ochrona środowiska'!H28</f>
        <v>0</v>
      </c>
      <c r="H33" s="94">
        <f>+'Rolnictwo i Ochrona środowiska'!I28</f>
        <v>1480479</v>
      </c>
      <c r="I33" s="91">
        <f>+'Rolnictwo i Ochrona środowiska'!J28</f>
        <v>1023666</v>
      </c>
      <c r="J33" s="91">
        <f>+'Rolnictwo i Ochrona środowiska'!K28</f>
        <v>456813</v>
      </c>
      <c r="K33" s="101">
        <f>+'Rolnictwo i Ochrona środowiska'!L28</f>
        <v>0</v>
      </c>
      <c r="L33" s="98">
        <f>+'Rolnictwo i Ochrona środowiska'!M28</f>
        <v>0</v>
      </c>
      <c r="M33" s="94">
        <f>+'Rolnictwo i Ochrona środowiska'!N28</f>
        <v>1513179</v>
      </c>
      <c r="N33" s="85">
        <f t="shared" si="5"/>
        <v>116.07106421430029</v>
      </c>
      <c r="O33" s="91">
        <f>+'Rolnictwo i Ochrona środowiska'!P28</f>
        <v>32700</v>
      </c>
      <c r="P33" s="98">
        <v>0</v>
      </c>
      <c r="Q33" s="87">
        <f t="shared" si="16"/>
        <v>32700</v>
      </c>
    </row>
    <row r="34" spans="1:17" s="88" customFormat="1" ht="15" customHeight="1" x14ac:dyDescent="0.2">
      <c r="A34" s="2729"/>
      <c r="B34" s="89" t="s">
        <v>12</v>
      </c>
      <c r="C34" s="91">
        <f>Drogi!D46</f>
        <v>75031000</v>
      </c>
      <c r="D34" s="92">
        <f>Drogi!E46</f>
        <v>44656584</v>
      </c>
      <c r="E34" s="92">
        <f>Drogi!F46</f>
        <v>21986160</v>
      </c>
      <c r="F34" s="91">
        <f>Drogi!G46</f>
        <v>6686395</v>
      </c>
      <c r="G34" s="100">
        <f>Drogi!H46</f>
        <v>1701861</v>
      </c>
      <c r="H34" s="94">
        <f>Drogi!I46</f>
        <v>75030999.950000003</v>
      </c>
      <c r="I34" s="92">
        <f>Drogi!J46</f>
        <v>44656584</v>
      </c>
      <c r="J34" s="92">
        <f>Drogi!K46</f>
        <v>21986159.949999999</v>
      </c>
      <c r="K34" s="91">
        <f>Drogi!L46</f>
        <v>6686395</v>
      </c>
      <c r="L34" s="102">
        <f>Drogi!M46</f>
        <v>1701861</v>
      </c>
      <c r="M34" s="94">
        <f>Drogi!N46</f>
        <v>67432579.950000003</v>
      </c>
      <c r="N34" s="85">
        <f t="shared" si="5"/>
        <v>89.872959110234447</v>
      </c>
      <c r="O34" s="91">
        <f>Drogi!P46</f>
        <v>789836</v>
      </c>
      <c r="P34" s="86">
        <f t="shared" si="6"/>
        <v>11.812583611946348</v>
      </c>
      <c r="Q34" s="87">
        <f t="shared" si="16"/>
        <v>-5896559</v>
      </c>
    </row>
    <row r="35" spans="1:17" s="88" customFormat="1" ht="14.25" customHeight="1" x14ac:dyDescent="0.2">
      <c r="A35" s="2729"/>
      <c r="B35" s="106" t="s">
        <v>13</v>
      </c>
      <c r="C35" s="107">
        <f t="shared" ref="C35:M35" si="17">SUM(C36:C38)</f>
        <v>868574035</v>
      </c>
      <c r="D35" s="130">
        <f t="shared" si="17"/>
        <v>263930750</v>
      </c>
      <c r="E35" s="108">
        <f t="shared" si="17"/>
        <v>214602655</v>
      </c>
      <c r="F35" s="107">
        <f t="shared" si="17"/>
        <v>217187004</v>
      </c>
      <c r="G35" s="131">
        <f t="shared" si="17"/>
        <v>172853626</v>
      </c>
      <c r="H35" s="109">
        <f t="shared" si="17"/>
        <v>866173687.92000008</v>
      </c>
      <c r="I35" s="107">
        <f t="shared" si="17"/>
        <v>263912903</v>
      </c>
      <c r="J35" s="107">
        <f t="shared" si="17"/>
        <v>212354472.91999999</v>
      </c>
      <c r="K35" s="107">
        <f t="shared" si="17"/>
        <v>217052686</v>
      </c>
      <c r="L35" s="110">
        <f t="shared" si="17"/>
        <v>172853626</v>
      </c>
      <c r="M35" s="109">
        <f t="shared" si="17"/>
        <v>494170935.92000002</v>
      </c>
      <c r="N35" s="111">
        <f t="shared" si="5"/>
        <v>56.894509392051994</v>
      </c>
      <c r="O35" s="107">
        <f>SUM(O36:O38)</f>
        <v>17903560</v>
      </c>
      <c r="P35" s="112">
        <f t="shared" si="6"/>
        <v>8.2433845811510889</v>
      </c>
      <c r="Q35" s="113">
        <f>SUM(Q36:Q38)</f>
        <v>-199149126</v>
      </c>
    </row>
    <row r="36" spans="1:17" s="88" customFormat="1" ht="15.75" customHeight="1" x14ac:dyDescent="0.2">
      <c r="A36" s="2729"/>
      <c r="B36" s="89" t="s">
        <v>9</v>
      </c>
      <c r="C36" s="80">
        <f>+'Rolnictwo i Ochrona środowiska'!D31</f>
        <v>47227515</v>
      </c>
      <c r="D36" s="81">
        <f>+'Rolnictwo i Ochrona środowiska'!E31</f>
        <v>31284995</v>
      </c>
      <c r="E36" s="82">
        <f>+'Rolnictwo i Ochrona środowiska'!F31</f>
        <v>3867520</v>
      </c>
      <c r="F36" s="80">
        <f>+'Rolnictwo i Ochrona środowiska'!G31</f>
        <v>5700000</v>
      </c>
      <c r="G36" s="82">
        <f>+'Rolnictwo i Ochrona środowiska'!H31</f>
        <v>6375000</v>
      </c>
      <c r="H36" s="83">
        <f>+'Rolnictwo i Ochrona środowiska'!I31</f>
        <v>47113207</v>
      </c>
      <c r="I36" s="80">
        <f>+'Rolnictwo i Ochrona środowiska'!J31</f>
        <v>31284995</v>
      </c>
      <c r="J36" s="80">
        <f>+'Rolnictwo i Ochrona środowiska'!K31</f>
        <v>3753212</v>
      </c>
      <c r="K36" s="80">
        <f>+'Rolnictwo i Ochrona środowiska'!L31</f>
        <v>5700000</v>
      </c>
      <c r="L36" s="126">
        <f>+'Rolnictwo i Ochrona środowiska'!M31</f>
        <v>6375000</v>
      </c>
      <c r="M36" s="83">
        <f>+'Rolnictwo i Ochrona środowiska'!N31</f>
        <v>36238207</v>
      </c>
      <c r="N36" s="85">
        <f t="shared" si="5"/>
        <v>76.731132264740168</v>
      </c>
      <c r="O36" s="80">
        <f>+'Rolnictwo i Ochrona środowiska'!P31</f>
        <v>1200000</v>
      </c>
      <c r="P36" s="86">
        <f t="shared" si="6"/>
        <v>21.052631578947366</v>
      </c>
      <c r="Q36" s="87">
        <f>+O36-K36</f>
        <v>-4500000</v>
      </c>
    </row>
    <row r="37" spans="1:17" s="88" customFormat="1" ht="15.75" customHeight="1" x14ac:dyDescent="0.2">
      <c r="A37" s="2729"/>
      <c r="B37" s="89" t="s">
        <v>14</v>
      </c>
      <c r="C37" s="91">
        <f>Drogi!D32+Oświata!D20+'Rolnictwo i Ochrona środowiska'!D32</f>
        <v>38715285</v>
      </c>
      <c r="D37" s="92">
        <f>Drogi!E32+Oświata!E20+'Rolnictwo i Ochrona środowiska'!E32</f>
        <v>7982939</v>
      </c>
      <c r="E37" s="92">
        <f>Drogi!F32+Oświata!F20+'Rolnictwo i Ochrona środowiska'!F32</f>
        <v>7716033</v>
      </c>
      <c r="F37" s="92">
        <f>Drogi!G32+Oświata!G20+'Rolnictwo i Ochrona środowiska'!G32</f>
        <v>12561559</v>
      </c>
      <c r="G37" s="93">
        <f>Drogi!H32+Oświata!H20+'Rolnictwo i Ochrona środowiska'!H32</f>
        <v>10454754</v>
      </c>
      <c r="H37" s="94">
        <f>Drogi!I32+Oświata!I20+'Rolnictwo i Ochrona środowiska'!I32</f>
        <v>39077279</v>
      </c>
      <c r="I37" s="92">
        <f>Drogi!J32+Oświata!J20+'Rolnictwo i Ochrona środowiska'!J32</f>
        <v>7965092</v>
      </c>
      <c r="J37" s="92">
        <f>Drogi!K32+Oświata!K20+'Rolnictwo i Ochrona środowiska'!K32</f>
        <v>8230192</v>
      </c>
      <c r="K37" s="92">
        <f>Drogi!L32+Oświata!L20+'Rolnictwo i Ochrona środowiska'!L32</f>
        <v>12427241</v>
      </c>
      <c r="L37" s="132">
        <f>Drogi!M32+Oświata!M20+'Rolnictwo i Ochrona środowiska'!M32</f>
        <v>10454754</v>
      </c>
      <c r="M37" s="94">
        <f>Drogi!N32+Oświata!N20+'Rolnictwo i Ochrona środowiska'!N32</f>
        <v>16419544</v>
      </c>
      <c r="N37" s="85">
        <f t="shared" si="5"/>
        <v>42.411011568170039</v>
      </c>
      <c r="O37" s="92">
        <f>Drogi!P32+Oświata!P20+'Rolnictwo i Ochrona środowiska'!P32</f>
        <v>224260</v>
      </c>
      <c r="P37" s="86">
        <f t="shared" si="6"/>
        <v>1.7852879566939106</v>
      </c>
      <c r="Q37" s="87">
        <f>+O37-K37</f>
        <v>-12202981</v>
      </c>
    </row>
    <row r="38" spans="1:17" s="88" customFormat="1" ht="15.75" customHeight="1" thickBot="1" x14ac:dyDescent="0.25">
      <c r="A38" s="2730"/>
      <c r="B38" s="133" t="s">
        <v>15</v>
      </c>
      <c r="C38" s="134">
        <f>Drogi!D33+'Polityka społeczna i rozwój prz'!D22+Administracja!D23+'Rolnictwo i Ochrona środowiska'!D30+'Kultura fizyczna i turystyka'!D21+'Planowanie przestrzenne'!D21</f>
        <v>782631235</v>
      </c>
      <c r="D38" s="135">
        <f>Drogi!E33+'Polityka społeczna i rozwój prz'!E22+Administracja!E23+'Rolnictwo i Ochrona środowiska'!E30+'Kultura fizyczna i turystyka'!E21+'Planowanie przestrzenne'!E21</f>
        <v>224662816</v>
      </c>
      <c r="E38" s="135">
        <f>Drogi!F33+'Polityka społeczna i rozwój prz'!F22+Administracja!F23+'Rolnictwo i Ochrona środowiska'!F30+'Kultura fizyczna i turystyka'!F21+'Planowanie przestrzenne'!F21</f>
        <v>203019102</v>
      </c>
      <c r="F38" s="135">
        <f>Drogi!G33+'Polityka społeczna i rozwój prz'!G22+Administracja!G23+'Rolnictwo i Ochrona środowiska'!G30+'Kultura fizyczna i turystyka'!G21+'Planowanie przestrzenne'!G21</f>
        <v>198925445</v>
      </c>
      <c r="G38" s="136">
        <f>Drogi!H33+'Polityka społeczna i rozwój prz'!H22+Administracja!H23+'Rolnictwo i Ochrona środowiska'!H30+'Kultura fizyczna i turystyka'!H21+'Planowanie przestrzenne'!H21</f>
        <v>156023872</v>
      </c>
      <c r="H38" s="137">
        <f>Drogi!I33+'Polityka społeczna i rozwój prz'!I22+Administracja!I23+'Rolnictwo i Ochrona środowiska'!I30+'Kultura fizyczna i turystyka'!I21+'Planowanie przestrzenne'!I21</f>
        <v>779983201.92000008</v>
      </c>
      <c r="I38" s="135">
        <f>Drogi!J33+'Polityka społeczna i rozwój prz'!J22+Administracja!J23+'Rolnictwo i Ochrona środowiska'!J30+'Kultura fizyczna i turystyka'!J21+'Planowanie przestrzenne'!J21</f>
        <v>224662816</v>
      </c>
      <c r="J38" s="135">
        <f>Drogi!K33+'Polityka społeczna i rozwój prz'!K22+Administracja!K23+'Rolnictwo i Ochrona środowiska'!K30+'Kultura fizyczna i turystyka'!K21+'Planowanie przestrzenne'!K21</f>
        <v>200371068.91999999</v>
      </c>
      <c r="K38" s="135">
        <f>Drogi!L33+'Polityka społeczna i rozwój prz'!L22+Administracja!L23+'Rolnictwo i Ochrona środowiska'!L30+'Kultura fizyczna i turystyka'!L21+'Planowanie przestrzenne'!L21</f>
        <v>198925445</v>
      </c>
      <c r="L38" s="138">
        <f>Drogi!M33+'Polityka społeczna i rozwój prz'!M22+Administracja!M23+'Rolnictwo i Ochrona środowiska'!M30+'Kultura fizyczna i turystyka'!M21+'Planowanie przestrzenne'!M21</f>
        <v>156023872</v>
      </c>
      <c r="M38" s="137">
        <f>Drogi!N33+'Polityka społeczna i rozwój prz'!N22+Administracja!N23+'Rolnictwo i Ochrona środowiska'!N30+'Kultura fizyczna i turystyka'!N21+'Planowanie przestrzenne'!N21</f>
        <v>441513184.92000002</v>
      </c>
      <c r="N38" s="139">
        <f t="shared" si="5"/>
        <v>56.413948891268063</v>
      </c>
      <c r="O38" s="135">
        <f>Drogi!P33+'Polityka społeczna i rozwój prz'!P22+Administracja!P23+'Rolnictwo i Ochrona środowiska'!P30+'Kultura fizyczna i turystyka'!P21+'Planowanie przestrzenne'!P21</f>
        <v>16479300</v>
      </c>
      <c r="P38" s="140">
        <f t="shared" si="6"/>
        <v>8.2841589219518887</v>
      </c>
      <c r="Q38" s="141">
        <f>+O38-K38</f>
        <v>-182446145</v>
      </c>
    </row>
    <row r="39" spans="1:17" s="88" customFormat="1" ht="6" customHeight="1" thickBot="1" x14ac:dyDescent="0.25">
      <c r="A39" s="142"/>
      <c r="B39" s="143"/>
      <c r="C39" s="144"/>
      <c r="D39" s="90"/>
      <c r="E39" s="145"/>
      <c r="F39" s="90"/>
      <c r="G39" s="90"/>
      <c r="H39" s="90"/>
      <c r="I39" s="90"/>
      <c r="J39" s="90"/>
      <c r="K39" s="90"/>
      <c r="L39" s="90"/>
      <c r="M39" s="146"/>
      <c r="N39" s="90"/>
      <c r="O39" s="90"/>
      <c r="P39" s="90"/>
      <c r="Q39" s="147"/>
    </row>
    <row r="40" spans="1:17" s="124" customFormat="1" ht="18" customHeight="1" thickBot="1" x14ac:dyDescent="0.25">
      <c r="A40" s="2731" t="s">
        <v>19</v>
      </c>
      <c r="B40" s="2763"/>
      <c r="C40" s="148">
        <f>C14</f>
        <v>1287393494</v>
      </c>
      <c r="D40" s="148">
        <f t="shared" ref="D40:M40" si="18">D14</f>
        <v>476129029</v>
      </c>
      <c r="E40" s="148">
        <f t="shared" si="18"/>
        <v>277827502</v>
      </c>
      <c r="F40" s="148">
        <f t="shared" si="18"/>
        <v>279097303</v>
      </c>
      <c r="G40" s="149">
        <f t="shared" si="18"/>
        <v>254339660</v>
      </c>
      <c r="H40" s="150">
        <f t="shared" si="18"/>
        <v>1283857102.3700001</v>
      </c>
      <c r="I40" s="148">
        <f t="shared" si="18"/>
        <v>476128869</v>
      </c>
      <c r="J40" s="148">
        <f t="shared" si="18"/>
        <v>274291270.36999995</v>
      </c>
      <c r="K40" s="148">
        <f t="shared" si="18"/>
        <v>279097303</v>
      </c>
      <c r="L40" s="149">
        <f t="shared" si="18"/>
        <v>254339660</v>
      </c>
      <c r="M40" s="150">
        <f t="shared" si="18"/>
        <v>765119078.03999996</v>
      </c>
      <c r="N40" s="151">
        <f t="shared" si="5"/>
        <v>59.431640877936573</v>
      </c>
      <c r="O40" s="148">
        <f t="shared" ref="O40" si="19">O14</f>
        <v>14698938.669999996</v>
      </c>
      <c r="P40" s="151">
        <f t="shared" si="6"/>
        <v>5.2666000394851524</v>
      </c>
      <c r="Q40" s="152">
        <f t="shared" ref="Q40" si="20">Q14</f>
        <v>-264398364.32999998</v>
      </c>
    </row>
    <row r="41" spans="1:17" s="124" customFormat="1" ht="18" customHeight="1" thickBot="1" x14ac:dyDescent="0.25">
      <c r="A41" s="2731" t="s">
        <v>20</v>
      </c>
      <c r="B41" s="2763"/>
      <c r="C41" s="148">
        <f>+C27</f>
        <v>1130841750</v>
      </c>
      <c r="D41" s="148">
        <f t="shared" ref="D41:M41" si="21">+D27</f>
        <v>389444481</v>
      </c>
      <c r="E41" s="148">
        <f t="shared" si="21"/>
        <v>272699418</v>
      </c>
      <c r="F41" s="148">
        <f t="shared" si="21"/>
        <v>249748498</v>
      </c>
      <c r="G41" s="149">
        <f t="shared" si="21"/>
        <v>218949353</v>
      </c>
      <c r="H41" s="150">
        <f t="shared" si="21"/>
        <v>1128502526.01</v>
      </c>
      <c r="I41" s="148">
        <f t="shared" si="21"/>
        <v>389426634</v>
      </c>
      <c r="J41" s="148">
        <f t="shared" si="21"/>
        <v>270512359.00999999</v>
      </c>
      <c r="K41" s="148">
        <f t="shared" si="21"/>
        <v>249614180</v>
      </c>
      <c r="L41" s="149">
        <f t="shared" si="21"/>
        <v>218949353</v>
      </c>
      <c r="M41" s="150">
        <f t="shared" si="21"/>
        <v>680404549.00999999</v>
      </c>
      <c r="N41" s="151">
        <f t="shared" si="5"/>
        <v>60.167972133147721</v>
      </c>
      <c r="O41" s="148">
        <f t="shared" ref="O41" si="22">+O27</f>
        <v>20465556</v>
      </c>
      <c r="P41" s="151">
        <f t="shared" si="6"/>
        <v>8.1944660984507696</v>
      </c>
      <c r="Q41" s="152">
        <f t="shared" ref="Q41" si="23">+Q27</f>
        <v>-229148624</v>
      </c>
    </row>
    <row r="42" spans="1:17" s="88" customFormat="1" ht="22.5" customHeight="1" x14ac:dyDescent="0.2">
      <c r="A42" s="153"/>
      <c r="B42" s="143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154"/>
    </row>
    <row r="43" spans="1:17" ht="44.25" customHeight="1" thickBot="1" x14ac:dyDescent="0.25">
      <c r="A43" s="2764" t="s">
        <v>381</v>
      </c>
      <c r="B43" s="2764"/>
      <c r="C43" s="2764"/>
      <c r="D43" s="2764"/>
      <c r="E43" s="2764"/>
      <c r="F43" s="2764"/>
      <c r="G43" s="2764"/>
      <c r="H43" s="2764"/>
      <c r="I43" s="2764"/>
      <c r="J43" s="2764"/>
      <c r="K43" s="2764"/>
      <c r="L43" s="2764"/>
      <c r="M43" s="2764"/>
      <c r="N43" s="2764"/>
      <c r="O43" s="2764"/>
      <c r="P43" s="2764"/>
      <c r="Q43" s="2764"/>
    </row>
    <row r="44" spans="1:17" s="8" customFormat="1" ht="51.75" customHeight="1" x14ac:dyDescent="0.2">
      <c r="A44" s="12"/>
      <c r="B44" s="155"/>
      <c r="C44" s="2717" t="s">
        <v>350</v>
      </c>
      <c r="D44" s="2718"/>
      <c r="E44" s="2718"/>
      <c r="F44" s="2718"/>
      <c r="G44" s="2719"/>
      <c r="H44" s="2736"/>
      <c r="I44" s="2737"/>
      <c r="J44" s="2737"/>
      <c r="K44" s="2737"/>
      <c r="L44" s="2738"/>
      <c r="M44" s="2717" t="s">
        <v>214</v>
      </c>
      <c r="N44" s="2718"/>
      <c r="O44" s="2718"/>
      <c r="P44" s="2719"/>
      <c r="Q44" s="14"/>
    </row>
    <row r="45" spans="1:17" ht="24" customHeight="1" x14ac:dyDescent="0.2">
      <c r="A45" s="15" t="s">
        <v>1</v>
      </c>
      <c r="B45" s="16" t="s">
        <v>2</v>
      </c>
      <c r="C45" s="2739" t="s">
        <v>0</v>
      </c>
      <c r="D45" s="2742" t="s">
        <v>215</v>
      </c>
      <c r="E45" s="2745" t="s">
        <v>216</v>
      </c>
      <c r="F45" s="2748" t="s">
        <v>349</v>
      </c>
      <c r="G45" s="2749"/>
      <c r="H45" s="2750" t="s">
        <v>0</v>
      </c>
      <c r="I45" s="2753" t="s">
        <v>215</v>
      </c>
      <c r="J45" s="2733" t="s">
        <v>216</v>
      </c>
      <c r="K45" s="2753" t="s">
        <v>308</v>
      </c>
      <c r="L45" s="2756" t="s">
        <v>304</v>
      </c>
      <c r="M45" s="2750" t="s">
        <v>217</v>
      </c>
      <c r="N45" s="2720" t="s">
        <v>357</v>
      </c>
      <c r="O45" s="2721"/>
      <c r="P45" s="2722"/>
      <c r="Q45" s="17"/>
    </row>
    <row r="46" spans="1:17" ht="35.25" customHeight="1" x14ac:dyDescent="0.2">
      <c r="A46" s="15"/>
      <c r="B46" s="16"/>
      <c r="C46" s="2740"/>
      <c r="D46" s="2743"/>
      <c r="E46" s="2746"/>
      <c r="F46" s="2753" t="s">
        <v>354</v>
      </c>
      <c r="G46" s="2761" t="s">
        <v>304</v>
      </c>
      <c r="H46" s="2751"/>
      <c r="I46" s="2754"/>
      <c r="J46" s="2734"/>
      <c r="K46" s="2754"/>
      <c r="L46" s="2757"/>
      <c r="M46" s="2759"/>
      <c r="N46" s="2707" t="s">
        <v>364</v>
      </c>
      <c r="O46" s="2709" t="s">
        <v>351</v>
      </c>
      <c r="P46" s="2711" t="s">
        <v>363</v>
      </c>
      <c r="Q46" s="2713" t="s">
        <v>219</v>
      </c>
    </row>
    <row r="47" spans="1:17" ht="60" customHeight="1" thickBot="1" x14ac:dyDescent="0.25">
      <c r="A47" s="15"/>
      <c r="B47" s="16"/>
      <c r="C47" s="2741"/>
      <c r="D47" s="2744"/>
      <c r="E47" s="2747"/>
      <c r="F47" s="2755"/>
      <c r="G47" s="2762"/>
      <c r="H47" s="2752"/>
      <c r="I47" s="2755"/>
      <c r="J47" s="2735"/>
      <c r="K47" s="2755"/>
      <c r="L47" s="2758"/>
      <c r="M47" s="2760"/>
      <c r="N47" s="2708"/>
      <c r="O47" s="2710"/>
      <c r="P47" s="2712"/>
      <c r="Q47" s="2714"/>
    </row>
    <row r="48" spans="1:17" ht="13.5" customHeight="1" thickBot="1" x14ac:dyDescent="0.25">
      <c r="A48" s="19">
        <v>1</v>
      </c>
      <c r="B48" s="20">
        <v>2</v>
      </c>
      <c r="C48" s="21">
        <v>3</v>
      </c>
      <c r="D48" s="22"/>
      <c r="E48" s="23"/>
      <c r="F48" s="24">
        <v>4</v>
      </c>
      <c r="G48" s="23">
        <v>5</v>
      </c>
      <c r="H48" s="25"/>
      <c r="I48" s="26"/>
      <c r="J48" s="26"/>
      <c r="K48" s="26"/>
      <c r="L48" s="27"/>
      <c r="M48" s="28">
        <v>6</v>
      </c>
      <c r="N48" s="29">
        <v>7</v>
      </c>
      <c r="O48" s="29">
        <v>8</v>
      </c>
      <c r="P48" s="30">
        <v>9</v>
      </c>
      <c r="Q48" s="31">
        <v>13</v>
      </c>
    </row>
    <row r="49" spans="1:17" ht="16.5" customHeight="1" thickBot="1" x14ac:dyDescent="0.25">
      <c r="A49" s="32"/>
      <c r="B49" s="33" t="s">
        <v>220</v>
      </c>
      <c r="C49" s="34">
        <f t="shared" ref="C49:M49" si="24">C50+C51</f>
        <v>856412208.03250003</v>
      </c>
      <c r="D49" s="34">
        <f t="shared" si="24"/>
        <v>186833519.0325</v>
      </c>
      <c r="E49" s="34">
        <f t="shared" si="24"/>
        <v>104862723</v>
      </c>
      <c r="F49" s="34">
        <f t="shared" si="24"/>
        <v>178880612</v>
      </c>
      <c r="G49" s="34">
        <f t="shared" si="24"/>
        <v>385835354</v>
      </c>
      <c r="H49" s="38">
        <f t="shared" si="24"/>
        <v>849904419.35249996</v>
      </c>
      <c r="I49" s="36">
        <f t="shared" si="24"/>
        <v>186815031.0325</v>
      </c>
      <c r="J49" s="34">
        <f t="shared" si="24"/>
        <v>98373422.319999993</v>
      </c>
      <c r="K49" s="34">
        <f t="shared" si="24"/>
        <v>178880612</v>
      </c>
      <c r="L49" s="34">
        <f t="shared" si="24"/>
        <v>385835354</v>
      </c>
      <c r="M49" s="35">
        <f t="shared" si="24"/>
        <v>326350151.67250001</v>
      </c>
      <c r="N49" s="156">
        <f>M49/C49*100</f>
        <v>38.106667398197033</v>
      </c>
      <c r="O49" s="34">
        <f t="shared" ref="O49" si="25">O50+O51</f>
        <v>41161698.32</v>
      </c>
      <c r="P49" s="40">
        <f>O49/F49*100</f>
        <v>23.010709690550478</v>
      </c>
      <c r="Q49" s="41">
        <f t="shared" ref="Q49:Q51" si="26">+O49-K49*0.25</f>
        <v>-3558454.6799999997</v>
      </c>
    </row>
    <row r="50" spans="1:17" ht="15.75" customHeight="1" thickTop="1" thickBot="1" x14ac:dyDescent="0.25">
      <c r="A50" s="32"/>
      <c r="B50" s="42" t="s">
        <v>221</v>
      </c>
      <c r="C50" s="45">
        <f>Drogi!D468+'Ochrona zdrowia'!D10+Oświata!D32+Administracja!D104+Kultura!D10+'Rolnictwo i Ochrona środowiska'!D228+'Kultura fizyczna i turystyka'!D63</f>
        <v>477883767</v>
      </c>
      <c r="D50" s="43">
        <f>Drogi!E468+'Ochrona zdrowia'!E10+Oświata!E32+Administracja!E104+Kultura!E10+'Rolnictwo i Ochrona środowiska'!E228+'Kultura fizyczna i turystyka'!E63</f>
        <v>24100305</v>
      </c>
      <c r="E50" s="43">
        <f>Drogi!F468+'Ochrona zdrowia'!F10+Oświata!F32+Administracja!F104+Kultura!F10+'Rolnictwo i Ochrona środowiska'!F228+'Kultura fizyczna i turystyka'!F63</f>
        <v>20443632</v>
      </c>
      <c r="F50" s="43">
        <f>Drogi!G468+'Ochrona zdrowia'!G10+Oświata!G32+Administracja!G104+Kultura!G10+'Rolnictwo i Ochrona środowiska'!G228+'Kultura fizyczna i turystyka'!G63</f>
        <v>103811106</v>
      </c>
      <c r="G50" s="43">
        <f>Drogi!H468+'Ochrona zdrowia'!H10+Oświata!H32+Administracja!H104+Kultura!H10+'Rolnictwo i Ochrona środowiska'!H228+'Kultura fizyczna i turystyka'!H63</f>
        <v>329528724</v>
      </c>
      <c r="H50" s="47">
        <f>Drogi!I468+'Ochrona zdrowia'!I10+Oświata!I32+Administracja!I104+Kultura!I10+'Rolnictwo i Ochrona środowiska'!I228+'Kultura fizyczna i turystyka'!I63</f>
        <v>476788201.31999999</v>
      </c>
      <c r="I50" s="43">
        <f>Drogi!J468+'Ochrona zdrowia'!J10+Oświata!J32+Administracja!J104+Kultura!J10+'Rolnictwo i Ochrona środowiska'!J228+'Kultura fizyczna i turystyka'!J63</f>
        <v>24081817</v>
      </c>
      <c r="J50" s="43">
        <f>Drogi!K468+'Ochrona zdrowia'!K10+Oświata!K32+Administracja!K104+Kultura!K10+'Rolnictwo i Ochrona środowiska'!K228+'Kultura fizyczna i turystyka'!K63</f>
        <v>19366554.32</v>
      </c>
      <c r="K50" s="43">
        <f>Drogi!L468+'Ochrona zdrowia'!L10+Oświata!L32+Administracja!L104+Kultura!L10+'Rolnictwo i Ochrona środowiska'!L228+'Kultura fizyczna i turystyka'!L63</f>
        <v>103811106</v>
      </c>
      <c r="L50" s="43">
        <f>Drogi!M468+'Ochrona zdrowia'!M10+Oświata!M32+Administracja!M104+Kultura!M10+'Rolnictwo i Ochrona środowiska'!M228+'Kultura fizyczna i turystyka'!M63</f>
        <v>329528724</v>
      </c>
      <c r="M50" s="44">
        <f>Drogi!N468+'Ochrona zdrowia'!N10+Oświata!N32+Administracja!N104+Kultura!N10+'Rolnictwo i Ochrona środowiska'!N228+'Kultura fizyczna i turystyka'!N63</f>
        <v>77419240.640000001</v>
      </c>
      <c r="N50" s="157">
        <f t="shared" ref="N50:N54" si="27">M50/C50*100</f>
        <v>16.200433240495489</v>
      </c>
      <c r="O50" s="43">
        <f>Drogi!P468+'Ochrona zdrowia'!P10+Oświata!P32+Administracja!P104+Kultura!P10+'Rolnictwo i Ochrona środowiska'!P228+'Kultura fizyczna i turystyka'!P63</f>
        <v>33970869.32</v>
      </c>
      <c r="P50" s="49">
        <f t="shared" ref="P50:P54" si="28">O50/F50*100</f>
        <v>32.723733162037597</v>
      </c>
      <c r="Q50" s="50">
        <f t="shared" si="26"/>
        <v>8018092.8200000003</v>
      </c>
    </row>
    <row r="51" spans="1:17" ht="13.5" customHeight="1" thickTop="1" thickBot="1" x14ac:dyDescent="0.25">
      <c r="A51" s="32"/>
      <c r="B51" s="51" t="s">
        <v>222</v>
      </c>
      <c r="C51" s="158">
        <f>Drogi!D469+'Ochrona zdrowia'!D11+Oświata!D33+Administracja!D105+Kultura!D11+'Rolnictwo i Ochrona środowiska'!D229+'Kultura fizyczna i turystyka'!D64</f>
        <v>378528441.03250003</v>
      </c>
      <c r="D51" s="158">
        <f>Drogi!E469+'Ochrona zdrowia'!E11+Oświata!E33+Administracja!E105+Kultura!E11+'Rolnictwo i Ochrona środowiska'!E229+'Kultura fizyczna i turystyka'!E64</f>
        <v>162733214.0325</v>
      </c>
      <c r="E51" s="158">
        <f>Drogi!F469+'Ochrona zdrowia'!F11+Oświata!F33+Administracja!F105+Kultura!F11+'Rolnictwo i Ochrona środowiska'!F229+'Kultura fizyczna i turystyka'!F64</f>
        <v>84419091</v>
      </c>
      <c r="F51" s="158">
        <f>Drogi!G469+'Ochrona zdrowia'!G11+Oświata!G33+Administracja!G105+Kultura!G11+'Rolnictwo i Ochrona środowiska'!G229+'Kultura fizyczna i turystyka'!G64</f>
        <v>75069506</v>
      </c>
      <c r="G51" s="159">
        <f>Drogi!H469+'Ochrona zdrowia'!H11+Oświata!H33+Administracja!H105+Kultura!H11+'Rolnictwo i Ochrona środowiska'!H229+'Kultura fizyczna i turystyka'!H64</f>
        <v>56306630</v>
      </c>
      <c r="H51" s="160">
        <f>Drogi!I469+'Ochrona zdrowia'!I11+Oświata!I33+Administracja!I105+Kultura!I11+'Rolnictwo i Ochrona środowiska'!I229+'Kultura fizyczna i turystyka'!I64</f>
        <v>373116218.03250003</v>
      </c>
      <c r="I51" s="158">
        <f>Drogi!J469+'Ochrona zdrowia'!J11+Oświata!J33+Administracja!J105+Kultura!J11+'Rolnictwo i Ochrona środowiska'!J229+'Kultura fizyczna i turystyka'!J64</f>
        <v>162733214.0325</v>
      </c>
      <c r="J51" s="158">
        <f>Drogi!K469+'Ochrona zdrowia'!K11+Oświata!K33+Administracja!K105+Kultura!K11+'Rolnictwo i Ochrona środowiska'!K229+'Kultura fizyczna i turystyka'!K64</f>
        <v>79006868</v>
      </c>
      <c r="K51" s="158">
        <f>Drogi!L469+'Ochrona zdrowia'!L11+Oświata!L33+Administracja!L105+Kultura!L11+'Rolnictwo i Ochrona środowiska'!L229+'Kultura fizyczna i turystyka'!L64</f>
        <v>75069506</v>
      </c>
      <c r="L51" s="159">
        <f>Drogi!M469+'Ochrona zdrowia'!M11+Oświata!M33+Administracja!M105+Kultura!M11+'Rolnictwo i Ochrona środowiska'!M229+'Kultura fizyczna i turystyka'!M64</f>
        <v>56306630</v>
      </c>
      <c r="M51" s="161">
        <f>Drogi!N469+'Ochrona zdrowia'!N11+Oświata!N33+Administracja!N105+Kultura!N11+'Rolnictwo i Ochrona środowiska'!N229+'Kultura fizyczna i turystyka'!N64</f>
        <v>248930911.0325</v>
      </c>
      <c r="N51" s="162">
        <f t="shared" si="27"/>
        <v>65.762802486782519</v>
      </c>
      <c r="O51" s="158">
        <f>Drogi!P469+'Ochrona zdrowia'!P11+Oświata!P33+Administracja!P105+Kultura!P11+'Rolnictwo i Ochrona środowiska'!P229+'Kultura fizyczna i turystyka'!P64</f>
        <v>7190829</v>
      </c>
      <c r="P51" s="57">
        <f t="shared" si="28"/>
        <v>9.5788947911819218</v>
      </c>
      <c r="Q51" s="58">
        <f t="shared" si="26"/>
        <v>-11576547.5</v>
      </c>
    </row>
    <row r="52" spans="1:17" s="69" customFormat="1" ht="18" customHeight="1" x14ac:dyDescent="0.2">
      <c r="A52" s="2729"/>
      <c r="B52" s="163" t="s">
        <v>3</v>
      </c>
      <c r="C52" s="60">
        <f t="shared" ref="C52:M52" si="29">+C53+C62</f>
        <v>1055898822.0325</v>
      </c>
      <c r="D52" s="164">
        <f t="shared" si="29"/>
        <v>273857767.03250003</v>
      </c>
      <c r="E52" s="164">
        <f t="shared" si="29"/>
        <v>126364673</v>
      </c>
      <c r="F52" s="164">
        <f t="shared" si="29"/>
        <v>232098318</v>
      </c>
      <c r="G52" s="165">
        <f t="shared" si="29"/>
        <v>423578064</v>
      </c>
      <c r="H52" s="166">
        <f t="shared" si="29"/>
        <v>1047435656.3525</v>
      </c>
      <c r="I52" s="167">
        <f t="shared" si="29"/>
        <v>273839279.03250003</v>
      </c>
      <c r="J52" s="167">
        <f t="shared" si="29"/>
        <v>117919995.31999999</v>
      </c>
      <c r="K52" s="167">
        <f t="shared" si="29"/>
        <v>232098318</v>
      </c>
      <c r="L52" s="167">
        <f t="shared" si="29"/>
        <v>423578064</v>
      </c>
      <c r="M52" s="168">
        <f t="shared" si="29"/>
        <v>433310081.67250001</v>
      </c>
      <c r="N52" s="121">
        <f t="shared" si="27"/>
        <v>41.037083537835692</v>
      </c>
      <c r="O52" s="164">
        <f>+O53+O62</f>
        <v>41550807.32</v>
      </c>
      <c r="P52" s="122">
        <f t="shared" si="28"/>
        <v>17.90224404814515</v>
      </c>
      <c r="Q52" s="169">
        <f>+Q53+Q62</f>
        <v>-190547510.68000001</v>
      </c>
    </row>
    <row r="53" spans="1:17" s="78" customFormat="1" ht="18" customHeight="1" x14ac:dyDescent="0.2">
      <c r="A53" s="2729"/>
      <c r="B53" s="170" t="s">
        <v>4</v>
      </c>
      <c r="C53" s="71">
        <f t="shared" ref="C53:M53" si="30">SUM(C54:C61)</f>
        <v>913345949.03250003</v>
      </c>
      <c r="D53" s="71">
        <f t="shared" si="30"/>
        <v>226377186.0325</v>
      </c>
      <c r="E53" s="71">
        <f t="shared" si="30"/>
        <v>109191281</v>
      </c>
      <c r="F53" s="71">
        <f t="shared" si="30"/>
        <v>190114914</v>
      </c>
      <c r="G53" s="171">
        <f t="shared" si="30"/>
        <v>387662568</v>
      </c>
      <c r="H53" s="73">
        <f t="shared" si="30"/>
        <v>906880021.35249996</v>
      </c>
      <c r="I53" s="72">
        <f t="shared" si="30"/>
        <v>226358698.0325</v>
      </c>
      <c r="J53" s="72">
        <f t="shared" si="30"/>
        <v>102743841.31999999</v>
      </c>
      <c r="K53" s="72">
        <f t="shared" si="30"/>
        <v>190114914</v>
      </c>
      <c r="L53" s="72">
        <f t="shared" si="30"/>
        <v>387662568</v>
      </c>
      <c r="M53" s="172">
        <f t="shared" si="30"/>
        <v>370288854.67250001</v>
      </c>
      <c r="N53" s="111">
        <f t="shared" si="27"/>
        <v>40.542015329979179</v>
      </c>
      <c r="O53" s="71">
        <f>SUM(O54:O61)</f>
        <v>41186315.32</v>
      </c>
      <c r="P53" s="112">
        <f t="shared" si="28"/>
        <v>21.663905505067319</v>
      </c>
      <c r="Q53" s="77">
        <f>SUM(Q54:Q61)</f>
        <v>-148928598.68000001</v>
      </c>
    </row>
    <row r="54" spans="1:17" s="88" customFormat="1" ht="15.75" customHeight="1" x14ac:dyDescent="0.2">
      <c r="A54" s="2729"/>
      <c r="B54" s="173" t="s">
        <v>365</v>
      </c>
      <c r="C54" s="125">
        <f>Drogi!D472+'Ochrona zdrowia'!D14+Oświata!D38+Administracja!D108+'Kultura fizyczna i turystyka'!D67</f>
        <v>673075111</v>
      </c>
      <c r="D54" s="125">
        <f>Drogi!E472+'Ochrona zdrowia'!E14+Oświata!E38+Administracja!E108+'Kultura fizyczna i turystyka'!E67</f>
        <v>129208966</v>
      </c>
      <c r="E54" s="125">
        <f>Drogi!F472+'Ochrona zdrowia'!F14+Oświata!F38+Administracja!F108+'Kultura fizyczna i turystyka'!F67</f>
        <v>65243594</v>
      </c>
      <c r="F54" s="125">
        <f>Drogi!G472+'Ochrona zdrowia'!G14+Oświata!G38+Administracja!G108+'Kultura fizyczna i turystyka'!G67</f>
        <v>113012510</v>
      </c>
      <c r="G54" s="125">
        <f>Drogi!H472+'Ochrona zdrowia'!H14+Oświata!H38+Administracja!H108+'Kultura fizyczna i turystyka'!H67</f>
        <v>365610041</v>
      </c>
      <c r="H54" s="83">
        <f>Drogi!I472+'Ochrona zdrowia'!I14+Oświata!I38+Administracja!I108+'Kultura fizyczna i turystyka'!I67</f>
        <v>671957032.31999993</v>
      </c>
      <c r="I54" s="125">
        <f>Drogi!J472+'Ochrona zdrowia'!J14+Oświata!J38+Administracja!J108+'Kultura fizyczna i turystyka'!J67</f>
        <v>129190478</v>
      </c>
      <c r="J54" s="125">
        <f>Drogi!K472+'Ochrona zdrowia'!K14+Oświata!K38+Administracja!K108+'Kultura fizyczna i turystyka'!K67</f>
        <v>64144003.32</v>
      </c>
      <c r="K54" s="125">
        <f>Drogi!L472+'Ochrona zdrowia'!L14+Oświata!L38+Administracja!L108+'Kultura fizyczna i turystyka'!L67</f>
        <v>113012510</v>
      </c>
      <c r="L54" s="125">
        <f>Drogi!M472+'Ochrona zdrowia'!M14+Oświata!M38+Administracja!M108+'Kultura fizyczna i turystyka'!M67</f>
        <v>365610041</v>
      </c>
      <c r="M54" s="174">
        <f>Drogi!N472+'Ochrona zdrowia'!N14+Oświata!N38+Administracja!N108+'Kultura fizyczna i turystyka'!N67</f>
        <v>227332350.64000002</v>
      </c>
      <c r="N54" s="85">
        <f t="shared" si="27"/>
        <v>33.775183025598466</v>
      </c>
      <c r="O54" s="125">
        <f>Drogi!P472+'Ochrona zdrowia'!P14+Oświata!P38+Administracja!P108+'Kultura fizyczna i turystyka'!P67</f>
        <v>33997869.32</v>
      </c>
      <c r="P54" s="86">
        <f t="shared" si="28"/>
        <v>30.083279559050585</v>
      </c>
      <c r="Q54" s="87">
        <f>+O54-K54</f>
        <v>-79014640.680000007</v>
      </c>
    </row>
    <row r="55" spans="1:17" s="88" customFormat="1" ht="15.75" customHeight="1" x14ac:dyDescent="0.2">
      <c r="A55" s="2729"/>
      <c r="B55" s="175" t="s">
        <v>37</v>
      </c>
      <c r="C55" s="80">
        <f>Drogi!D475+'Rolnictwo i Ochrona środowiska'!D234</f>
        <v>14976755</v>
      </c>
      <c r="D55" s="80">
        <f>Drogi!E475+'Rolnictwo i Ochrona środowiska'!E234</f>
        <v>10018546</v>
      </c>
      <c r="E55" s="80">
        <f>Drogi!F475+'Rolnictwo i Ochrona środowiska'!F234</f>
        <v>3318635</v>
      </c>
      <c r="F55" s="80">
        <f>Drogi!G475+'Rolnictwo i Ochrona środowiska'!G234</f>
        <v>1639574</v>
      </c>
      <c r="G55" s="125">
        <f>Drogi!H475+'Rolnictwo i Ochrona środowiska'!H234</f>
        <v>0</v>
      </c>
      <c r="H55" s="83">
        <f>Drogi!I475+'Rolnictwo i Ochrona środowiska'!I234</f>
        <v>14976755</v>
      </c>
      <c r="I55" s="80">
        <f>Drogi!J475+'Rolnictwo i Ochrona środowiska'!J234</f>
        <v>10018546</v>
      </c>
      <c r="J55" s="80">
        <f>Drogi!K475+'Rolnictwo i Ochrona środowiska'!K234</f>
        <v>3318635</v>
      </c>
      <c r="K55" s="80">
        <f>Drogi!L475+'Rolnictwo i Ochrona środowiska'!L234</f>
        <v>1639574</v>
      </c>
      <c r="L55" s="125">
        <f>Drogi!M475+'Rolnictwo i Ochrona środowiska'!M234</f>
        <v>0</v>
      </c>
      <c r="M55" s="174">
        <f>Drogi!N475+'Rolnictwo i Ochrona środowiska'!N234</f>
        <v>13337181</v>
      </c>
      <c r="N55" s="85">
        <f>M55/C55*100</f>
        <v>89.052541755540503</v>
      </c>
      <c r="O55" s="80">
        <f>Drogi!P475+'Rolnictwo i Ochrona środowiska'!P234</f>
        <v>0</v>
      </c>
      <c r="P55" s="86">
        <f>O55/F55*100</f>
        <v>0</v>
      </c>
      <c r="Q55" s="87">
        <f>+O55-K55</f>
        <v>-1639574</v>
      </c>
    </row>
    <row r="56" spans="1:17" s="88" customFormat="1" ht="15.75" customHeight="1" x14ac:dyDescent="0.2">
      <c r="A56" s="2729"/>
      <c r="B56" s="175" t="s">
        <v>7</v>
      </c>
      <c r="C56" s="80">
        <f>'Ochrona zdrowia'!D15+Kultura!D14</f>
        <v>53238121</v>
      </c>
      <c r="D56" s="80">
        <f>'Ochrona zdrowia'!E15+Kultura!E14</f>
        <v>39543667</v>
      </c>
      <c r="E56" s="80">
        <f>'Ochrona zdrowia'!F15+Kultura!F14</f>
        <v>4323558</v>
      </c>
      <c r="F56" s="80">
        <f>'Ochrona zdrowia'!G15+Kultura!G14</f>
        <v>9129896</v>
      </c>
      <c r="G56" s="125">
        <f>'Ochrona zdrowia'!H15+Kultura!H14</f>
        <v>241000</v>
      </c>
      <c r="H56" s="83">
        <f>'Ochrona zdrowia'!I15+Kultura!I14</f>
        <v>53279982</v>
      </c>
      <c r="I56" s="80">
        <f>'Ochrona zdrowia'!J15+Kultura!J14</f>
        <v>39543667</v>
      </c>
      <c r="J56" s="80">
        <f>'Ochrona zdrowia'!K15+Kultura!K14</f>
        <v>4365419</v>
      </c>
      <c r="K56" s="80">
        <f>'Ochrona zdrowia'!L15+Kultura!L14</f>
        <v>9129896</v>
      </c>
      <c r="L56" s="125">
        <f>'Ochrona zdrowia'!M15+Kultura!M14</f>
        <v>241000</v>
      </c>
      <c r="M56" s="174">
        <f>'Ochrona zdrowia'!N15+Kultura!N14</f>
        <v>43933703</v>
      </c>
      <c r="N56" s="85">
        <f t="shared" ref="N56:N78" si="31">M56/C56*100</f>
        <v>82.523015791635473</v>
      </c>
      <c r="O56" s="80">
        <f>'Ochrona zdrowia'!P15+Kultura!P14</f>
        <v>24617</v>
      </c>
      <c r="P56" s="86">
        <f t="shared" ref="P56:P78" si="32">O56/F56*100</f>
        <v>0.26963067268236135</v>
      </c>
      <c r="Q56" s="87">
        <f t="shared" ref="Q56:Q60" si="33">+O56-K56</f>
        <v>-9105279</v>
      </c>
    </row>
    <row r="57" spans="1:17" s="88" customFormat="1" ht="15.75" customHeight="1" x14ac:dyDescent="0.2">
      <c r="A57" s="2729"/>
      <c r="B57" s="173" t="s">
        <v>318</v>
      </c>
      <c r="C57" s="80">
        <f>'Ochrona zdrowia'!D16+Oświata!D37+Kultura!D15</f>
        <v>106774376.0325</v>
      </c>
      <c r="D57" s="80">
        <f>'Ochrona zdrowia'!E16+Oświata!E37+Kultura!E15</f>
        <v>34621727.032499999</v>
      </c>
      <c r="E57" s="80">
        <f>'Ochrona zdrowia'!F16+Oświata!F37+Kultura!F15</f>
        <v>19282785</v>
      </c>
      <c r="F57" s="80">
        <f>'Ochrona zdrowia'!G16+Oświata!G37+Kultura!G15</f>
        <v>37126551</v>
      </c>
      <c r="G57" s="125">
        <f>'Ochrona zdrowia'!H16+Oświata!H37+Kultura!H15</f>
        <v>15743313</v>
      </c>
      <c r="H57" s="83">
        <f>'Ochrona zdrowia'!I16+Oświata!I37+Kultura!I15</f>
        <v>106074711.0325</v>
      </c>
      <c r="I57" s="80">
        <f>'Ochrona zdrowia'!J16+Oświata!J37+Kultura!J15</f>
        <v>34621727.032499999</v>
      </c>
      <c r="J57" s="80">
        <f>'Ochrona zdrowia'!K16+Oświata!K37+Kultura!K15</f>
        <v>18583120</v>
      </c>
      <c r="K57" s="80">
        <f>'Ochrona zdrowia'!L16+Oświata!L37+Kultura!L15</f>
        <v>37126551</v>
      </c>
      <c r="L57" s="125">
        <f>'Ochrona zdrowia'!M16+Oświata!M37+Kultura!M15</f>
        <v>15743313</v>
      </c>
      <c r="M57" s="174">
        <f>'Ochrona zdrowia'!N16+Oświata!N37+Kultura!N15</f>
        <v>60368676.032499999</v>
      </c>
      <c r="N57" s="85">
        <f t="shared" si="31"/>
        <v>56.538542556432233</v>
      </c>
      <c r="O57" s="80">
        <f>'Ochrona zdrowia'!P16+Oświata!P37+Kultura!P15</f>
        <v>7163829</v>
      </c>
      <c r="P57" s="86">
        <f t="shared" si="32"/>
        <v>19.295702959318792</v>
      </c>
      <c r="Q57" s="87">
        <f t="shared" si="33"/>
        <v>-29962722</v>
      </c>
    </row>
    <row r="58" spans="1:17" s="88" customFormat="1" ht="15.75" customHeight="1" x14ac:dyDescent="0.2">
      <c r="A58" s="2729"/>
      <c r="B58" s="175" t="s">
        <v>10</v>
      </c>
      <c r="C58" s="80">
        <f>Drogi!D474+'Ochrona zdrowia'!D18</f>
        <v>11637105</v>
      </c>
      <c r="D58" s="80">
        <f>Drogi!E474+'Ochrona zdrowia'!E18</f>
        <v>4919280</v>
      </c>
      <c r="E58" s="80">
        <f>Drogi!F474+'Ochrona zdrowia'!F18</f>
        <v>2717825</v>
      </c>
      <c r="F58" s="80">
        <f>Drogi!G474+'Ochrona zdrowia'!G18</f>
        <v>2000000</v>
      </c>
      <c r="G58" s="125">
        <f>Drogi!H474+'Ochrona zdrowia'!H18</f>
        <v>2000000</v>
      </c>
      <c r="H58" s="83">
        <f>Drogi!I474+'Ochrona zdrowia'!I18</f>
        <v>11637105</v>
      </c>
      <c r="I58" s="80">
        <f>Drogi!J474+'Ochrona zdrowia'!J18</f>
        <v>4919280</v>
      </c>
      <c r="J58" s="80">
        <f>Drogi!K474+'Ochrona zdrowia'!K18</f>
        <v>2717825</v>
      </c>
      <c r="K58" s="80">
        <f>Drogi!L474+'Ochrona zdrowia'!L18</f>
        <v>2000000</v>
      </c>
      <c r="L58" s="125">
        <f>Drogi!M474+'Ochrona zdrowia'!M18</f>
        <v>2000000</v>
      </c>
      <c r="M58" s="174">
        <f>Drogi!N474+'Ochrona zdrowia'!N18</f>
        <v>7637105</v>
      </c>
      <c r="N58" s="85">
        <f t="shared" si="31"/>
        <v>65.627189923954461</v>
      </c>
      <c r="O58" s="80">
        <f>Drogi!P474+'Ochrona zdrowia'!P18</f>
        <v>0</v>
      </c>
      <c r="P58" s="86">
        <f t="shared" si="32"/>
        <v>0</v>
      </c>
      <c r="Q58" s="87">
        <f t="shared" si="33"/>
        <v>-2000000</v>
      </c>
    </row>
    <row r="59" spans="1:17" s="88" customFormat="1" ht="15.75" customHeight="1" x14ac:dyDescent="0.2">
      <c r="A59" s="2729"/>
      <c r="B59" s="175" t="s">
        <v>8</v>
      </c>
      <c r="C59" s="80">
        <f>Drogi!D485+'Ochrona zdrowia'!D17</f>
        <v>49274500</v>
      </c>
      <c r="D59" s="80">
        <f>Drogi!E485+'Ochrona zdrowia'!E17</f>
        <v>8065000</v>
      </c>
      <c r="E59" s="80">
        <f>Drogi!F485+'Ochrona zdrowia'!F17</f>
        <v>13838750</v>
      </c>
      <c r="F59" s="80">
        <f>Drogi!G485+'Ochrona zdrowia'!G17</f>
        <v>24888750</v>
      </c>
      <c r="G59" s="125">
        <f>Drogi!H485+'Ochrona zdrowia'!H17</f>
        <v>2482000</v>
      </c>
      <c r="H59" s="83">
        <f>Drogi!I485+'Ochrona zdrowia'!I17</f>
        <v>44584455</v>
      </c>
      <c r="I59" s="80">
        <f>Drogi!J485+'Ochrona zdrowia'!J17</f>
        <v>8065000</v>
      </c>
      <c r="J59" s="80">
        <f>Drogi!K485+'Ochrona zdrowia'!K17</f>
        <v>9148705</v>
      </c>
      <c r="K59" s="80">
        <f>Drogi!L485+'Ochrona zdrowia'!L17</f>
        <v>24888750</v>
      </c>
      <c r="L59" s="125">
        <f>Drogi!M485+'Ochrona zdrowia'!M17</f>
        <v>2482000</v>
      </c>
      <c r="M59" s="174">
        <f>Drogi!N485+'Ochrona zdrowia'!N17</f>
        <v>17213705</v>
      </c>
      <c r="N59" s="85">
        <f t="shared" si="31"/>
        <v>34.934306791545325</v>
      </c>
      <c r="O59" s="80">
        <f>Drogi!P485+'Ochrona zdrowia'!P17</f>
        <v>0</v>
      </c>
      <c r="P59" s="86">
        <f t="shared" si="32"/>
        <v>0</v>
      </c>
      <c r="Q59" s="87">
        <f t="shared" si="33"/>
        <v>-24888750</v>
      </c>
    </row>
    <row r="60" spans="1:17" s="88" customFormat="1" ht="15.75" customHeight="1" x14ac:dyDescent="0.2">
      <c r="A60" s="2729"/>
      <c r="B60" s="176" t="s">
        <v>319</v>
      </c>
      <c r="C60" s="80">
        <f>Oświata!D36</f>
        <v>3695620</v>
      </c>
      <c r="D60" s="80">
        <f>Oświata!E36</f>
        <v>0</v>
      </c>
      <c r="E60" s="80">
        <f>Oświata!F36</f>
        <v>5000</v>
      </c>
      <c r="F60" s="80">
        <f>Oświata!G36</f>
        <v>2104406</v>
      </c>
      <c r="G60" s="125">
        <f>Oświata!H36</f>
        <v>1586214</v>
      </c>
      <c r="H60" s="83">
        <f>Oświata!I36</f>
        <v>3695620</v>
      </c>
      <c r="I60" s="80">
        <f>Oświata!J36</f>
        <v>0</v>
      </c>
      <c r="J60" s="80">
        <f>Oświata!K36</f>
        <v>5000</v>
      </c>
      <c r="K60" s="80">
        <f>Oświata!L36</f>
        <v>2104406</v>
      </c>
      <c r="L60" s="125">
        <f>Oświata!M36</f>
        <v>1586214</v>
      </c>
      <c r="M60" s="174">
        <f>Oświata!N36</f>
        <v>5000</v>
      </c>
      <c r="N60" s="85">
        <f t="shared" si="31"/>
        <v>0.13529529551198444</v>
      </c>
      <c r="O60" s="80">
        <f>Oświata!P36</f>
        <v>0</v>
      </c>
      <c r="P60" s="86">
        <f t="shared" si="32"/>
        <v>0</v>
      </c>
      <c r="Q60" s="87">
        <f t="shared" si="33"/>
        <v>-2104406</v>
      </c>
    </row>
    <row r="61" spans="1:17" s="88" customFormat="1" ht="13.5" customHeight="1" x14ac:dyDescent="0.2">
      <c r="A61" s="2729"/>
      <c r="B61" s="175" t="s">
        <v>9</v>
      </c>
      <c r="C61" s="80">
        <f>'Rolnictwo i Ochrona środowiska'!D233</f>
        <v>674361</v>
      </c>
      <c r="D61" s="80">
        <f>'Rolnictwo i Ochrona środowiska'!E233</f>
        <v>0</v>
      </c>
      <c r="E61" s="80">
        <f>'Rolnictwo i Ochrona środowiska'!F233</f>
        <v>461134</v>
      </c>
      <c r="F61" s="80">
        <f>'Rolnictwo i Ochrona środowiska'!G233</f>
        <v>213227</v>
      </c>
      <c r="G61" s="125">
        <f>'Rolnictwo i Ochrona środowiska'!H233</f>
        <v>0</v>
      </c>
      <c r="H61" s="83">
        <f>'Rolnictwo i Ochrona środowiska'!I233</f>
        <v>674361</v>
      </c>
      <c r="I61" s="80">
        <f>'Rolnictwo i Ochrona środowiska'!J233</f>
        <v>0</v>
      </c>
      <c r="J61" s="80">
        <f>'Rolnictwo i Ochrona środowiska'!K233</f>
        <v>461134</v>
      </c>
      <c r="K61" s="80">
        <f>'Rolnictwo i Ochrona środowiska'!L233</f>
        <v>213227</v>
      </c>
      <c r="L61" s="125">
        <f>'Rolnictwo i Ochrona środowiska'!M233</f>
        <v>0</v>
      </c>
      <c r="M61" s="174">
        <f>'Rolnictwo i Ochrona środowiska'!N233</f>
        <v>461134</v>
      </c>
      <c r="N61" s="85">
        <f t="shared" si="31"/>
        <v>68.380882049821977</v>
      </c>
      <c r="O61" s="80">
        <f>'Rolnictwo i Ochrona środowiska'!P233</f>
        <v>0</v>
      </c>
      <c r="P61" s="86">
        <f t="shared" si="32"/>
        <v>0</v>
      </c>
      <c r="Q61" s="87">
        <f>+O61-K61</f>
        <v>-213227</v>
      </c>
    </row>
    <row r="62" spans="1:17" s="88" customFormat="1" ht="18" customHeight="1" x14ac:dyDescent="0.2">
      <c r="A62" s="2729"/>
      <c r="B62" s="177" t="s">
        <v>13</v>
      </c>
      <c r="C62" s="107">
        <f t="shared" ref="C62:M62" si="34">SUM(C63:C63)</f>
        <v>142552873</v>
      </c>
      <c r="D62" s="107">
        <f t="shared" si="34"/>
        <v>47480581</v>
      </c>
      <c r="E62" s="107">
        <f t="shared" si="34"/>
        <v>17173392</v>
      </c>
      <c r="F62" s="107">
        <f t="shared" si="34"/>
        <v>41983404</v>
      </c>
      <c r="G62" s="131">
        <f t="shared" si="34"/>
        <v>35915496</v>
      </c>
      <c r="H62" s="109">
        <f t="shared" si="34"/>
        <v>140555635</v>
      </c>
      <c r="I62" s="107">
        <f t="shared" si="34"/>
        <v>47480581</v>
      </c>
      <c r="J62" s="107">
        <f t="shared" si="34"/>
        <v>15176154</v>
      </c>
      <c r="K62" s="107">
        <f t="shared" si="34"/>
        <v>41983404</v>
      </c>
      <c r="L62" s="131">
        <f t="shared" si="34"/>
        <v>35915496</v>
      </c>
      <c r="M62" s="178">
        <f t="shared" si="34"/>
        <v>63021227</v>
      </c>
      <c r="N62" s="179">
        <f t="shared" si="31"/>
        <v>44.209019203702752</v>
      </c>
      <c r="O62" s="107">
        <f>SUM(O63:O63)</f>
        <v>364492</v>
      </c>
      <c r="P62" s="180">
        <f t="shared" si="32"/>
        <v>0.86818115081854719</v>
      </c>
      <c r="Q62" s="181">
        <f>SUM(Q63:Q63)</f>
        <v>-41618912</v>
      </c>
    </row>
    <row r="63" spans="1:17" s="88" customFormat="1" ht="15.75" customHeight="1" x14ac:dyDescent="0.2">
      <c r="A63" s="2729"/>
      <c r="B63" s="175" t="s">
        <v>16</v>
      </c>
      <c r="C63" s="91">
        <f>'Ochrona zdrowia'!D20+Oświata!D40+Kultura!D17</f>
        <v>142552873</v>
      </c>
      <c r="D63" s="91">
        <f>'Ochrona zdrowia'!E20+Oświata!E40+Kultura!E17</f>
        <v>47480581</v>
      </c>
      <c r="E63" s="91">
        <f>'Ochrona zdrowia'!F20+Oświata!F40+Kultura!F17</f>
        <v>17173392</v>
      </c>
      <c r="F63" s="91">
        <f>'Ochrona zdrowia'!G20+Oświata!G40+Kultura!G17</f>
        <v>41983404</v>
      </c>
      <c r="G63" s="100">
        <f>'Ochrona zdrowia'!H20+Oświata!H40+Kultura!H17</f>
        <v>35915496</v>
      </c>
      <c r="H63" s="94">
        <f>'Ochrona zdrowia'!I20+Oświata!I40+Kultura!I17</f>
        <v>140555635</v>
      </c>
      <c r="I63" s="91">
        <f>'Ochrona zdrowia'!J20+Oświata!J40+Kultura!J17</f>
        <v>47480581</v>
      </c>
      <c r="J63" s="91">
        <f>'Ochrona zdrowia'!K20+Oświata!K40+Kultura!K17</f>
        <v>15176154</v>
      </c>
      <c r="K63" s="91">
        <f>'Ochrona zdrowia'!L20+Oświata!L40+Kultura!L17</f>
        <v>41983404</v>
      </c>
      <c r="L63" s="100">
        <f>'Ochrona zdrowia'!M20+Oświata!M40+Kultura!M17</f>
        <v>35915496</v>
      </c>
      <c r="M63" s="97">
        <f>'Ochrona zdrowia'!N20+Oświata!N40+Kultura!N17</f>
        <v>63021227</v>
      </c>
      <c r="N63" s="85">
        <f t="shared" si="31"/>
        <v>44.209019203702752</v>
      </c>
      <c r="O63" s="91">
        <f>'Ochrona zdrowia'!P20+Oświata!P40+Kultura!P17</f>
        <v>364492</v>
      </c>
      <c r="P63" s="86">
        <f t="shared" si="32"/>
        <v>0.86818115081854719</v>
      </c>
      <c r="Q63" s="87">
        <f>+O63-K63</f>
        <v>-41618912</v>
      </c>
    </row>
    <row r="64" spans="1:17" s="124" customFormat="1" ht="18" customHeight="1" x14ac:dyDescent="0.2">
      <c r="A64" s="2729"/>
      <c r="B64" s="163" t="s">
        <v>17</v>
      </c>
      <c r="C64" s="115">
        <f>+C65+C71</f>
        <v>243937760</v>
      </c>
      <c r="D64" s="115">
        <f>+D65+D71</f>
        <v>70753681</v>
      </c>
      <c r="E64" s="115">
        <f>+E65+E71</f>
        <v>39571984</v>
      </c>
      <c r="F64" s="115">
        <f>+F65+F71</f>
        <v>79357302</v>
      </c>
      <c r="G64" s="118">
        <f>+G65+G71</f>
        <v>54254793</v>
      </c>
      <c r="H64" s="119">
        <f t="shared" ref="H64:M64" si="35">+H65+H71</f>
        <v>237151764</v>
      </c>
      <c r="I64" s="115">
        <f t="shared" si="35"/>
        <v>70753681</v>
      </c>
      <c r="J64" s="115">
        <f t="shared" si="35"/>
        <v>32838877</v>
      </c>
      <c r="K64" s="115">
        <f t="shared" si="35"/>
        <v>79357302</v>
      </c>
      <c r="L64" s="118">
        <f t="shared" si="35"/>
        <v>54254793</v>
      </c>
      <c r="M64" s="182">
        <f t="shared" si="35"/>
        <v>104723074</v>
      </c>
      <c r="N64" s="183">
        <f t="shared" si="31"/>
        <v>42.930243353878467</v>
      </c>
      <c r="O64" s="115">
        <f>+O65+O71</f>
        <v>1130516</v>
      </c>
      <c r="P64" s="184">
        <f t="shared" si="32"/>
        <v>1.4245897623888475</v>
      </c>
      <c r="Q64" s="123">
        <f>+Q65+Q71</f>
        <v>-68720889</v>
      </c>
    </row>
    <row r="65" spans="1:17" s="88" customFormat="1" ht="15" customHeight="1" x14ac:dyDescent="0.2">
      <c r="A65" s="2729"/>
      <c r="B65" s="177" t="s">
        <v>18</v>
      </c>
      <c r="C65" s="107">
        <f>SUM(C66:C70)</f>
        <v>101384887</v>
      </c>
      <c r="D65" s="107">
        <f>SUM(D66:D70)</f>
        <v>24037593</v>
      </c>
      <c r="E65" s="107">
        <f>SUM(E66:E70)</f>
        <v>21634098</v>
      </c>
      <c r="F65" s="107">
        <f>SUM(F66:F70)</f>
        <v>37373898</v>
      </c>
      <c r="G65" s="131">
        <f>SUM(G66:G70)</f>
        <v>18339298</v>
      </c>
      <c r="H65" s="109">
        <f t="shared" ref="H65:M65" si="36">SUM(H66:H70)</f>
        <v>96689253</v>
      </c>
      <c r="I65" s="107">
        <f t="shared" si="36"/>
        <v>24037593</v>
      </c>
      <c r="J65" s="107">
        <f t="shared" si="36"/>
        <v>16991353</v>
      </c>
      <c r="K65" s="107">
        <f t="shared" si="36"/>
        <v>37373898</v>
      </c>
      <c r="L65" s="131">
        <f t="shared" si="36"/>
        <v>18339298</v>
      </c>
      <c r="M65" s="178">
        <f t="shared" si="36"/>
        <v>41794970</v>
      </c>
      <c r="N65" s="179">
        <f t="shared" si="31"/>
        <v>41.224063306397923</v>
      </c>
      <c r="O65" s="107">
        <f>SUM(O66:O70)</f>
        <v>766024</v>
      </c>
      <c r="P65" s="180">
        <f t="shared" si="32"/>
        <v>2.049622974836609</v>
      </c>
      <c r="Q65" s="113">
        <f>SUM(Q66:Q70)</f>
        <v>-27101977</v>
      </c>
    </row>
    <row r="66" spans="1:17" s="88" customFormat="1" ht="15" customHeight="1" x14ac:dyDescent="0.2">
      <c r="A66" s="2729"/>
      <c r="B66" s="175" t="s">
        <v>8</v>
      </c>
      <c r="C66" s="127">
        <f>Drogi!D478+'Ochrona zdrowia'!D23</f>
        <v>49274500</v>
      </c>
      <c r="D66" s="127">
        <f>Drogi!E478+'Ochrona zdrowia'!E23</f>
        <v>8065000</v>
      </c>
      <c r="E66" s="127">
        <f>Drogi!F478+'Ochrona zdrowia'!F23</f>
        <v>13838750</v>
      </c>
      <c r="F66" s="127">
        <f>Drogi!G478+'Ochrona zdrowia'!G23</f>
        <v>24888750</v>
      </c>
      <c r="G66" s="185">
        <f>Drogi!H478+'Ochrona zdrowia'!H23</f>
        <v>2482000</v>
      </c>
      <c r="H66" s="186">
        <f>Drogi!I478+'Ochrona zdrowia'!I23</f>
        <v>44584455</v>
      </c>
      <c r="I66" s="127">
        <f>Drogi!J478+'Ochrona zdrowia'!J23</f>
        <v>8065000</v>
      </c>
      <c r="J66" s="127">
        <f>Drogi!K478+'Ochrona zdrowia'!K23</f>
        <v>9148705</v>
      </c>
      <c r="K66" s="127">
        <f>Drogi!L478+'Ochrona zdrowia'!L23</f>
        <v>24888750</v>
      </c>
      <c r="L66" s="185">
        <f>Drogi!M478+'Ochrona zdrowia'!M23</f>
        <v>2482000</v>
      </c>
      <c r="M66" s="187">
        <f>Drogi!N478+'Ochrona zdrowia'!N23</f>
        <v>17213705</v>
      </c>
      <c r="N66" s="85">
        <f t="shared" si="31"/>
        <v>34.934306791545325</v>
      </c>
      <c r="O66" s="127">
        <f>Drogi!P478+'Ochrona zdrowia'!P23</f>
        <v>0</v>
      </c>
      <c r="P66" s="86">
        <f t="shared" si="32"/>
        <v>0</v>
      </c>
      <c r="Q66" s="87">
        <f>+O66-K66</f>
        <v>-24888750</v>
      </c>
    </row>
    <row r="67" spans="1:17" s="88" customFormat="1" ht="15" customHeight="1" x14ac:dyDescent="0.2">
      <c r="A67" s="2729"/>
      <c r="B67" s="175" t="s">
        <v>10</v>
      </c>
      <c r="C67" s="127">
        <f>Drogi!D479+'Ochrona zdrowia'!D24</f>
        <v>11637105</v>
      </c>
      <c r="D67" s="127">
        <f>Drogi!E479+'Ochrona zdrowia'!E24</f>
        <v>4919280</v>
      </c>
      <c r="E67" s="127">
        <f>Drogi!F479+'Ochrona zdrowia'!F24</f>
        <v>2717825</v>
      </c>
      <c r="F67" s="127">
        <f>Drogi!G479+'Ochrona zdrowia'!G24</f>
        <v>2000000</v>
      </c>
      <c r="G67" s="185">
        <f>Drogi!H479+'Ochrona zdrowia'!H24</f>
        <v>2000000</v>
      </c>
      <c r="H67" s="186">
        <f>Drogi!I479+'Ochrona zdrowia'!I24</f>
        <v>11637105</v>
      </c>
      <c r="I67" s="127">
        <f>Drogi!J479+'Ochrona zdrowia'!J24</f>
        <v>4919280</v>
      </c>
      <c r="J67" s="127">
        <f>Drogi!K479+'Ochrona zdrowia'!K24</f>
        <v>2717825</v>
      </c>
      <c r="K67" s="127">
        <f>Drogi!L479+'Ochrona zdrowia'!L24</f>
        <v>2000000</v>
      </c>
      <c r="L67" s="185">
        <f>Drogi!M479+'Ochrona zdrowia'!M24</f>
        <v>2000000</v>
      </c>
      <c r="M67" s="187">
        <f>Drogi!N479+'Ochrona zdrowia'!N24</f>
        <v>7637105</v>
      </c>
      <c r="N67" s="85">
        <f t="shared" si="31"/>
        <v>65.627189923954461</v>
      </c>
      <c r="O67" s="127">
        <f>Drogi!P479+'Ochrona zdrowia'!P24</f>
        <v>0</v>
      </c>
      <c r="P67" s="86">
        <f t="shared" si="32"/>
        <v>0</v>
      </c>
      <c r="Q67" s="87">
        <f>+O67-K67</f>
        <v>-2000000</v>
      </c>
    </row>
    <row r="68" spans="1:17" s="88" customFormat="1" ht="15" customHeight="1" x14ac:dyDescent="0.2">
      <c r="A68" s="2729"/>
      <c r="B68" s="175" t="s">
        <v>37</v>
      </c>
      <c r="C68" s="127">
        <f>Drogi!D480+'Rolnictwo i Ochrona środowiska'!D238</f>
        <v>14976756</v>
      </c>
      <c r="D68" s="127">
        <f>Drogi!E480+'Rolnictwo i Ochrona środowiska'!E238</f>
        <v>10731046</v>
      </c>
      <c r="E68" s="127">
        <f>Drogi!F480+'Rolnictwo i Ochrona środowiska'!F238</f>
        <v>3318636</v>
      </c>
      <c r="F68" s="127">
        <f>Drogi!G480+'Rolnictwo i Ochrona środowiska'!G238</f>
        <v>927074</v>
      </c>
      <c r="G68" s="185">
        <f>Drogi!H480+'Rolnictwo i Ochrona środowiska'!H238</f>
        <v>0</v>
      </c>
      <c r="H68" s="186">
        <f>Drogi!I480+'Rolnictwo i Ochrona środowiska'!I238</f>
        <v>14976756</v>
      </c>
      <c r="I68" s="127">
        <f>Drogi!J480+'Rolnictwo i Ochrona środowiska'!J238</f>
        <v>10731046</v>
      </c>
      <c r="J68" s="127">
        <f>Drogi!K480+'Rolnictwo i Ochrona środowiska'!K238</f>
        <v>3318636</v>
      </c>
      <c r="K68" s="127">
        <f>Drogi!L480+'Rolnictwo i Ochrona środowiska'!L238</f>
        <v>927074</v>
      </c>
      <c r="L68" s="185">
        <f>Drogi!M480+'Rolnictwo i Ochrona środowiska'!M238</f>
        <v>0</v>
      </c>
      <c r="M68" s="187">
        <f>Drogi!N480+'Rolnictwo i Ochrona środowiska'!N238</f>
        <v>14049682</v>
      </c>
      <c r="N68" s="85">
        <f t="shared" si="31"/>
        <v>93.80991451019166</v>
      </c>
      <c r="O68" s="127">
        <f>Drogi!P480+'Rolnictwo i Ochrona środowiska'!P238</f>
        <v>0</v>
      </c>
      <c r="P68" s="86">
        <f t="shared" si="32"/>
        <v>0</v>
      </c>
      <c r="Q68" s="87"/>
    </row>
    <row r="69" spans="1:17" s="88" customFormat="1" ht="15" customHeight="1" x14ac:dyDescent="0.2">
      <c r="A69" s="2729"/>
      <c r="B69" s="188" t="s">
        <v>320</v>
      </c>
      <c r="C69" s="127">
        <f>Kultura!D20+Oświata!D44</f>
        <v>24822165</v>
      </c>
      <c r="D69" s="127">
        <f>Kultura!E20+Oświata!E44</f>
        <v>322267</v>
      </c>
      <c r="E69" s="127">
        <f>Kultura!F20+Oświata!F44</f>
        <v>1297753</v>
      </c>
      <c r="F69" s="127">
        <f>Kultura!G20+Oświata!G44</f>
        <v>9344847</v>
      </c>
      <c r="G69" s="185">
        <f>Kultura!H20+Oświata!H44</f>
        <v>13857298</v>
      </c>
      <c r="H69" s="186">
        <f>Kultura!I20+Oświata!I44</f>
        <v>24816576</v>
      </c>
      <c r="I69" s="127">
        <f>Kultura!J20+Oświata!J44</f>
        <v>322267</v>
      </c>
      <c r="J69" s="127">
        <f>Kultura!K20+Oświata!K44</f>
        <v>1345053</v>
      </c>
      <c r="K69" s="127">
        <f>Kultura!L20+Oświata!L44</f>
        <v>9344847</v>
      </c>
      <c r="L69" s="185">
        <f>Kultura!M20+Oświata!M44</f>
        <v>13857298</v>
      </c>
      <c r="M69" s="187">
        <f>Kultura!N20+Oświata!N44</f>
        <v>2433344</v>
      </c>
      <c r="N69" s="85">
        <f t="shared" si="31"/>
        <v>9.8031094386811137</v>
      </c>
      <c r="O69" s="127">
        <f>Kultura!P20+Oświata!P44</f>
        <v>766024</v>
      </c>
      <c r="P69" s="86">
        <f t="shared" si="32"/>
        <v>8.1972877672582545</v>
      </c>
      <c r="Q69" s="189"/>
    </row>
    <row r="70" spans="1:17" s="88" customFormat="1" ht="18" customHeight="1" x14ac:dyDescent="0.2">
      <c r="A70" s="2729"/>
      <c r="B70" s="175" t="s">
        <v>9</v>
      </c>
      <c r="C70" s="127">
        <f>'Rolnictwo i Ochrona środowiska'!D237</f>
        <v>674361</v>
      </c>
      <c r="D70" s="127">
        <f>'Rolnictwo i Ochrona środowiska'!E237</f>
        <v>0</v>
      </c>
      <c r="E70" s="127">
        <f>'Rolnictwo i Ochrona środowiska'!F237</f>
        <v>461134</v>
      </c>
      <c r="F70" s="127">
        <f>'Rolnictwo i Ochrona środowiska'!G237</f>
        <v>213227</v>
      </c>
      <c r="G70" s="185">
        <f>'Rolnictwo i Ochrona środowiska'!H237</f>
        <v>0</v>
      </c>
      <c r="H70" s="186">
        <f>'Rolnictwo i Ochrona środowiska'!I237</f>
        <v>674361</v>
      </c>
      <c r="I70" s="127">
        <f>'Rolnictwo i Ochrona środowiska'!J237</f>
        <v>0</v>
      </c>
      <c r="J70" s="127">
        <f>'Rolnictwo i Ochrona środowiska'!K237</f>
        <v>461134</v>
      </c>
      <c r="K70" s="127">
        <f>'Rolnictwo i Ochrona środowiska'!L237</f>
        <v>213227</v>
      </c>
      <c r="L70" s="185">
        <f>'Rolnictwo i Ochrona środowiska'!M237</f>
        <v>0</v>
      </c>
      <c r="M70" s="187">
        <f>'Rolnictwo i Ochrona środowiska'!N237</f>
        <v>461134</v>
      </c>
      <c r="N70" s="85">
        <f t="shared" si="31"/>
        <v>68.380882049821977</v>
      </c>
      <c r="O70" s="127">
        <f>'Rolnictwo i Ochrona środowiska'!P237</f>
        <v>0</v>
      </c>
      <c r="P70" s="86">
        <f t="shared" si="32"/>
        <v>0</v>
      </c>
      <c r="Q70" s="189">
        <f>+O70-K70</f>
        <v>-213227</v>
      </c>
    </row>
    <row r="71" spans="1:17" s="88" customFormat="1" ht="14.25" customHeight="1" x14ac:dyDescent="0.2">
      <c r="A71" s="2729"/>
      <c r="B71" s="190" t="s">
        <v>13</v>
      </c>
      <c r="C71" s="107">
        <f t="shared" ref="C71:M71" si="37">SUM(C72:C72)</f>
        <v>142552873</v>
      </c>
      <c r="D71" s="107">
        <f t="shared" si="37"/>
        <v>46716088</v>
      </c>
      <c r="E71" s="107">
        <f t="shared" si="37"/>
        <v>17937886</v>
      </c>
      <c r="F71" s="107">
        <f t="shared" si="37"/>
        <v>41983404</v>
      </c>
      <c r="G71" s="131">
        <f t="shared" si="37"/>
        <v>35915495</v>
      </c>
      <c r="H71" s="109">
        <f t="shared" si="37"/>
        <v>140462511</v>
      </c>
      <c r="I71" s="107">
        <f t="shared" si="37"/>
        <v>46716088</v>
      </c>
      <c r="J71" s="107">
        <f t="shared" si="37"/>
        <v>15847524</v>
      </c>
      <c r="K71" s="107">
        <f t="shared" si="37"/>
        <v>41983404</v>
      </c>
      <c r="L71" s="131">
        <f t="shared" si="37"/>
        <v>35915495</v>
      </c>
      <c r="M71" s="178">
        <f t="shared" si="37"/>
        <v>62928104</v>
      </c>
      <c r="N71" s="191">
        <f t="shared" si="31"/>
        <v>44.143693968202243</v>
      </c>
      <c r="O71" s="107">
        <f>SUM(O72:O72)</f>
        <v>364492</v>
      </c>
      <c r="P71" s="192">
        <f t="shared" si="32"/>
        <v>0.86818115081854719</v>
      </c>
      <c r="Q71" s="113">
        <f>SUM(Q72:Q72)</f>
        <v>-41618912</v>
      </c>
    </row>
    <row r="72" spans="1:17" s="88" customFormat="1" ht="15.75" customHeight="1" thickBot="1" x14ac:dyDescent="0.25">
      <c r="A72" s="2730"/>
      <c r="B72" s="193" t="s">
        <v>16</v>
      </c>
      <c r="C72" s="134">
        <f>'Ochrona zdrowia'!D26+Oświata!D46+Kultura!D22</f>
        <v>142552873</v>
      </c>
      <c r="D72" s="134">
        <f>'Ochrona zdrowia'!E26+Oświata!E46+Kultura!E22</f>
        <v>46716088</v>
      </c>
      <c r="E72" s="134">
        <f>'Ochrona zdrowia'!F26+Oświata!F46+Kultura!F22</f>
        <v>17937886</v>
      </c>
      <c r="F72" s="134">
        <f>'Ochrona zdrowia'!G26+Oświata!G46+Kultura!G22</f>
        <v>41983404</v>
      </c>
      <c r="G72" s="194">
        <f>'Ochrona zdrowia'!H26+Oświata!H46+Kultura!H22</f>
        <v>35915495</v>
      </c>
      <c r="H72" s="137">
        <f>'Ochrona zdrowia'!I26+Oświata!I46+Kultura!I22</f>
        <v>140462511</v>
      </c>
      <c r="I72" s="134">
        <f>'Ochrona zdrowia'!J26+Oświata!J46+Kultura!J22</f>
        <v>46716088</v>
      </c>
      <c r="J72" s="134">
        <f>'Ochrona zdrowia'!K26+Oświata!K46+Kultura!K22</f>
        <v>15847524</v>
      </c>
      <c r="K72" s="134">
        <f>'Ochrona zdrowia'!L26+Oświata!L46+Kultura!L22</f>
        <v>41983404</v>
      </c>
      <c r="L72" s="194">
        <f>'Ochrona zdrowia'!M26+Oświata!M46+Kultura!M22</f>
        <v>35915495</v>
      </c>
      <c r="M72" s="195">
        <f>'Ochrona zdrowia'!N26+Oświata!N46+Kultura!N22</f>
        <v>62928104</v>
      </c>
      <c r="N72" s="139">
        <f t="shared" si="31"/>
        <v>44.143693968202243</v>
      </c>
      <c r="O72" s="134">
        <f>'Ochrona zdrowia'!P26+Oświata!P46+Kultura!P22</f>
        <v>364492</v>
      </c>
      <c r="P72" s="140">
        <f t="shared" si="32"/>
        <v>0.86818115081854719</v>
      </c>
      <c r="Q72" s="196">
        <f>+O72-K72</f>
        <v>-41618912</v>
      </c>
    </row>
    <row r="73" spans="1:17" s="88" customFormat="1" ht="9.75" customHeight="1" thickBot="1" x14ac:dyDescent="0.25">
      <c r="A73" s="197"/>
      <c r="B73" s="143"/>
      <c r="C73" s="90"/>
      <c r="D73" s="198"/>
      <c r="E73" s="199"/>
      <c r="F73" s="199"/>
      <c r="G73" s="199"/>
      <c r="H73" s="145"/>
      <c r="I73" s="145"/>
      <c r="J73" s="145"/>
      <c r="K73" s="145"/>
      <c r="L73" s="145"/>
      <c r="M73" s="145"/>
      <c r="N73" s="145"/>
      <c r="O73" s="145"/>
      <c r="P73" s="145"/>
      <c r="Q73" s="198"/>
    </row>
    <row r="74" spans="1:17" s="124" customFormat="1" ht="18" customHeight="1" thickBot="1" x14ac:dyDescent="0.25">
      <c r="A74" s="2731" t="s">
        <v>19</v>
      </c>
      <c r="B74" s="2732"/>
      <c r="C74" s="148">
        <f>C54+C55+C57+C58+C59+C61</f>
        <v>856412208.03250003</v>
      </c>
      <c r="D74" s="148">
        <f t="shared" ref="D74:L74" si="38">D54+D55+D57+D58+D59+D61</f>
        <v>186833519.0325</v>
      </c>
      <c r="E74" s="148">
        <f t="shared" si="38"/>
        <v>104862723</v>
      </c>
      <c r="F74" s="148">
        <f t="shared" si="38"/>
        <v>178880612</v>
      </c>
      <c r="G74" s="149">
        <f t="shared" si="38"/>
        <v>385835354</v>
      </c>
      <c r="H74" s="150">
        <f t="shared" si="38"/>
        <v>849904419.35249996</v>
      </c>
      <c r="I74" s="148">
        <f t="shared" si="38"/>
        <v>186815031.0325</v>
      </c>
      <c r="J74" s="148">
        <f t="shared" si="38"/>
        <v>98373422.319999993</v>
      </c>
      <c r="K74" s="148">
        <f t="shared" si="38"/>
        <v>178880612</v>
      </c>
      <c r="L74" s="149">
        <f t="shared" si="38"/>
        <v>385835354</v>
      </c>
      <c r="M74" s="200">
        <f t="shared" ref="M74" si="39">M54+M55+M57+M58+M59+M61</f>
        <v>326350151.67250001</v>
      </c>
      <c r="N74" s="151">
        <f t="shared" si="31"/>
        <v>38.106667398197033</v>
      </c>
      <c r="O74" s="148">
        <f t="shared" ref="O74" si="40">O54+O55+O57+O58+O59+O61</f>
        <v>41161698.32</v>
      </c>
      <c r="P74" s="151">
        <f t="shared" si="32"/>
        <v>23.010709690550478</v>
      </c>
      <c r="Q74" s="201">
        <f>+O74-K74</f>
        <v>-137718913.68000001</v>
      </c>
    </row>
    <row r="75" spans="1:17" s="124" customFormat="1" ht="18" customHeight="1" thickBot="1" x14ac:dyDescent="0.25">
      <c r="A75" s="2723" t="s">
        <v>24</v>
      </c>
      <c r="B75" s="2724"/>
      <c r="C75" s="202">
        <f>C66+C67+C68+C70+C69</f>
        <v>101384887</v>
      </c>
      <c r="D75" s="202">
        <f t="shared" ref="D75:L75" si="41">D66+D67+D68+D70+D69</f>
        <v>24037593</v>
      </c>
      <c r="E75" s="202">
        <f t="shared" si="41"/>
        <v>21634098</v>
      </c>
      <c r="F75" s="202">
        <f t="shared" si="41"/>
        <v>37373898</v>
      </c>
      <c r="G75" s="203">
        <f t="shared" si="41"/>
        <v>18339298</v>
      </c>
      <c r="H75" s="204">
        <f t="shared" si="41"/>
        <v>96689253</v>
      </c>
      <c r="I75" s="202">
        <f t="shared" si="41"/>
        <v>24037593</v>
      </c>
      <c r="J75" s="202">
        <f t="shared" si="41"/>
        <v>16991353</v>
      </c>
      <c r="K75" s="202">
        <f t="shared" si="41"/>
        <v>37373898</v>
      </c>
      <c r="L75" s="203">
        <f t="shared" si="41"/>
        <v>18339298</v>
      </c>
      <c r="M75" s="205">
        <f t="shared" ref="M75" si="42">M66+M67+M68+M70+M69</f>
        <v>41794970</v>
      </c>
      <c r="N75" s="206">
        <f t="shared" si="31"/>
        <v>41.224063306397923</v>
      </c>
      <c r="O75" s="202">
        <f t="shared" ref="O75" si="43">O66+O67+O68+O70+O69</f>
        <v>766024</v>
      </c>
      <c r="P75" s="206">
        <f t="shared" si="32"/>
        <v>2.049622974836609</v>
      </c>
      <c r="Q75" s="201">
        <f>+O75-K75</f>
        <v>-36607874</v>
      </c>
    </row>
    <row r="76" spans="1:17" s="88" customFormat="1" ht="10.5" customHeight="1" thickBot="1" x14ac:dyDescent="0.25">
      <c r="A76" s="153"/>
      <c r="B76" s="143"/>
      <c r="C76" s="143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145"/>
      <c r="O76" s="90"/>
      <c r="P76" s="145"/>
      <c r="Q76" s="198"/>
    </row>
    <row r="77" spans="1:17" s="124" customFormat="1" ht="18" customHeight="1" thickBot="1" x14ac:dyDescent="0.25">
      <c r="A77" s="2725" t="s">
        <v>25</v>
      </c>
      <c r="B77" s="2726"/>
      <c r="C77" s="207">
        <f t="shared" ref="C77:M77" si="44">+C74+C40</f>
        <v>2143805702.0325</v>
      </c>
      <c r="D77" s="207">
        <f t="shared" si="44"/>
        <v>662962548.03250003</v>
      </c>
      <c r="E77" s="207">
        <f t="shared" si="44"/>
        <v>382690225</v>
      </c>
      <c r="F77" s="207">
        <f t="shared" si="44"/>
        <v>457977915</v>
      </c>
      <c r="G77" s="208">
        <f t="shared" si="44"/>
        <v>640175014</v>
      </c>
      <c r="H77" s="209">
        <f t="shared" si="44"/>
        <v>2133761521.7225001</v>
      </c>
      <c r="I77" s="207">
        <f t="shared" si="44"/>
        <v>662943900.03250003</v>
      </c>
      <c r="J77" s="207">
        <f t="shared" si="44"/>
        <v>372664692.68999994</v>
      </c>
      <c r="K77" s="207">
        <f t="shared" si="44"/>
        <v>457977915</v>
      </c>
      <c r="L77" s="208">
        <f t="shared" si="44"/>
        <v>640175014</v>
      </c>
      <c r="M77" s="210">
        <f t="shared" si="44"/>
        <v>1091469229.7125001</v>
      </c>
      <c r="N77" s="211">
        <f t="shared" si="31"/>
        <v>50.912693658651044</v>
      </c>
      <c r="O77" s="207">
        <f>+O74+O40</f>
        <v>55860636.989999995</v>
      </c>
      <c r="P77" s="211">
        <f t="shared" si="32"/>
        <v>12.197233788009187</v>
      </c>
      <c r="Q77" s="212">
        <f>+O77-K77</f>
        <v>-402117278.00999999</v>
      </c>
    </row>
    <row r="78" spans="1:17" s="124" customFormat="1" ht="18" customHeight="1" thickBot="1" x14ac:dyDescent="0.25">
      <c r="A78" s="2727" t="s">
        <v>26</v>
      </c>
      <c r="B78" s="2728"/>
      <c r="C78" s="213">
        <f t="shared" ref="C78:M78" si="45">+C41+C75</f>
        <v>1232226637</v>
      </c>
      <c r="D78" s="213">
        <f t="shared" si="45"/>
        <v>413482074</v>
      </c>
      <c r="E78" s="213">
        <f t="shared" si="45"/>
        <v>294333516</v>
      </c>
      <c r="F78" s="213">
        <f t="shared" si="45"/>
        <v>287122396</v>
      </c>
      <c r="G78" s="214">
        <f t="shared" si="45"/>
        <v>237288651</v>
      </c>
      <c r="H78" s="215">
        <f t="shared" si="45"/>
        <v>1225191779.01</v>
      </c>
      <c r="I78" s="213">
        <f t="shared" si="45"/>
        <v>413464227</v>
      </c>
      <c r="J78" s="213">
        <f t="shared" si="45"/>
        <v>287503712.00999999</v>
      </c>
      <c r="K78" s="213">
        <f t="shared" si="45"/>
        <v>286988078</v>
      </c>
      <c r="L78" s="214">
        <f t="shared" si="45"/>
        <v>237288651</v>
      </c>
      <c r="M78" s="216">
        <f t="shared" si="45"/>
        <v>722199519.00999999</v>
      </c>
      <c r="N78" s="217">
        <f t="shared" si="31"/>
        <v>58.60930914204868</v>
      </c>
      <c r="O78" s="213">
        <f>+O41+O75</f>
        <v>21231580</v>
      </c>
      <c r="P78" s="217">
        <f t="shared" si="32"/>
        <v>7.3946095100153739</v>
      </c>
      <c r="Q78" s="218">
        <f>+O78-K78</f>
        <v>-265756498</v>
      </c>
    </row>
    <row r="79" spans="1:17" s="88" customFormat="1" ht="15.75" customHeight="1" x14ac:dyDescent="0.2">
      <c r="A79" s="153"/>
      <c r="B79" s="143"/>
      <c r="C79" s="143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198"/>
    </row>
    <row r="80" spans="1:17" s="88" customFormat="1" ht="15.75" customHeight="1" x14ac:dyDescent="0.2">
      <c r="A80" s="153"/>
      <c r="B80" s="143"/>
      <c r="C80" s="143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198"/>
    </row>
    <row r="81" spans="1:17" s="88" customFormat="1" ht="15.75" customHeight="1" x14ac:dyDescent="0.2">
      <c r="A81" s="153"/>
      <c r="B81" s="143"/>
      <c r="C81" s="143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198"/>
    </row>
    <row r="82" spans="1:17" s="88" customFormat="1" ht="15.75" customHeight="1" x14ac:dyDescent="0.2">
      <c r="A82" s="153"/>
      <c r="B82" s="143"/>
      <c r="C82" s="143"/>
      <c r="D82" s="90"/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198"/>
    </row>
    <row r="83" spans="1:17" s="88" customFormat="1" ht="15.75" customHeight="1" x14ac:dyDescent="0.2">
      <c r="A83" s="153"/>
      <c r="B83" s="143"/>
      <c r="C83" s="143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198"/>
    </row>
    <row r="84" spans="1:17" s="88" customFormat="1" ht="15.75" customHeight="1" x14ac:dyDescent="0.2">
      <c r="A84" s="153"/>
      <c r="B84" s="143"/>
      <c r="C84" s="143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198"/>
    </row>
    <row r="85" spans="1:17" s="88" customFormat="1" ht="15.75" hidden="1" customHeight="1" x14ac:dyDescent="0.2">
      <c r="A85" s="153"/>
      <c r="B85" s="143"/>
      <c r="C85" s="143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198"/>
    </row>
    <row r="86" spans="1:17" s="88" customFormat="1" ht="15.75" hidden="1" customHeight="1" x14ac:dyDescent="0.2">
      <c r="A86" s="153"/>
      <c r="B86" s="90" t="s">
        <v>21</v>
      </c>
      <c r="C86" s="90"/>
      <c r="D86" s="90" t="e">
        <f>+Drogi!E449+Administracja!E106+'Rolnictwo i Ochrona środowiska'!#REF!+'Polityka społeczna i rozwój prz'!E12</f>
        <v>#REF!</v>
      </c>
      <c r="E86" s="90" t="e">
        <f>+Drogi!F449+Administracja!F106+'Rolnictwo i Ochrona środowiska'!#REF!+'Polityka społeczna i rozwój prz'!F12</f>
        <v>#REF!</v>
      </c>
      <c r="F86" s="90" t="e">
        <f>+Drogi!G449+Administracja!G106+'Rolnictwo i Ochrona środowiska'!#REF!+'Polityka społeczna i rozwój prz'!G12</f>
        <v>#REF!</v>
      </c>
      <c r="G86" s="90" t="e">
        <f>+Drogi!H449+Administracja!H106+'Rolnictwo i Ochrona środowiska'!#REF!+'Polityka społeczna i rozwój prz'!H12</f>
        <v>#REF!</v>
      </c>
      <c r="H86" s="90" t="e">
        <f>+Drogi!I449+Administracja!I106+'Rolnictwo i Ochrona środowiska'!#REF!+'Polityka społeczna i rozwój prz'!I12+'Kultura fizyczna i turystyka'!I23</f>
        <v>#REF!</v>
      </c>
      <c r="I86" s="90" t="e">
        <f>+Drogi!J449+Administracja!J106+'Rolnictwo i Ochrona środowiska'!#REF!+'Polityka społeczna i rozwój prz'!J12+'Kultura fizyczna i turystyka'!J23</f>
        <v>#REF!</v>
      </c>
      <c r="J86" s="90" t="e">
        <f>+Drogi!K449+Administracja!K106+'Rolnictwo i Ochrona środowiska'!#REF!+'Polityka społeczna i rozwój prz'!K12+'Kultura fizyczna i turystyka'!K23</f>
        <v>#REF!</v>
      </c>
      <c r="K86" s="90" t="e">
        <f>+Drogi!L449+Administracja!L106+'Rolnictwo i Ochrona środowiska'!#REF!+'Polityka społeczna i rozwój prz'!L12+'Kultura fizyczna i turystyka'!L23</f>
        <v>#REF!</v>
      </c>
      <c r="L86" s="90" t="e">
        <f>+Drogi!M449+Administracja!M106+'Rolnictwo i Ochrona środowiska'!#REF!+'Polityka społeczna i rozwój prz'!M12+'Kultura fizyczna i turystyka'!M23</f>
        <v>#REF!</v>
      </c>
      <c r="M86" s="90" t="e">
        <f>+Drogi!N449+Administracja!N106+'Rolnictwo i Ochrona środowiska'!#REF!+'Polityka społeczna i rozwój prz'!N12+'Kultura fizyczna i turystyka'!N23</f>
        <v>#REF!</v>
      </c>
      <c r="N86" s="90"/>
      <c r="O86" s="90" t="e">
        <f>+Drogi!P449+Administracja!P106+'Rolnictwo i Ochrona środowiska'!#REF!+'Polityka społeczna i rozwój prz'!P12+'Kultura fizyczna i turystyka'!P23</f>
        <v>#REF!</v>
      </c>
      <c r="P86" s="90"/>
      <c r="Q86" s="198"/>
    </row>
    <row r="87" spans="1:17" s="88" customFormat="1" ht="15.75" hidden="1" customHeight="1" x14ac:dyDescent="0.2">
      <c r="A87" s="153"/>
      <c r="B87" s="219" t="s">
        <v>22</v>
      </c>
      <c r="C87" s="219"/>
      <c r="D87" s="90" t="e">
        <f>+Drogi!E454+Administracja!#REF!+'Rolnictwo i Ochrona środowiska'!#REF!+'Polityka społeczna i rozwój prz'!E18</f>
        <v>#REF!</v>
      </c>
      <c r="E87" s="90" t="e">
        <f>+Drogi!F454+Administracja!#REF!+'Rolnictwo i Ochrona środowiska'!#REF!+'Polityka społeczna i rozwój prz'!F18</f>
        <v>#REF!</v>
      </c>
      <c r="F87" s="90" t="e">
        <f>+Drogi!G454+Administracja!#REF!+'Rolnictwo i Ochrona środowiska'!#REF!+'Polityka społeczna i rozwój prz'!G18</f>
        <v>#REF!</v>
      </c>
      <c r="G87" s="90" t="e">
        <f>+Drogi!H454+Administracja!#REF!+'Rolnictwo i Ochrona środowiska'!#REF!+'Polityka społeczna i rozwój prz'!H18</f>
        <v>#REF!</v>
      </c>
      <c r="H87" s="90" t="e">
        <f>+Drogi!I454+Administracja!#REF!+'Rolnictwo i Ochrona środowiska'!#REF!+'Polityka społeczna i rozwój prz'!I18</f>
        <v>#REF!</v>
      </c>
      <c r="I87" s="90" t="e">
        <f>+Drogi!J454+Administracja!#REF!+'Rolnictwo i Ochrona środowiska'!#REF!+'Polityka społeczna i rozwój prz'!J18</f>
        <v>#REF!</v>
      </c>
      <c r="J87" s="90" t="e">
        <f>+Drogi!K454+Administracja!#REF!+'Rolnictwo i Ochrona środowiska'!#REF!+'Polityka społeczna i rozwój prz'!K18</f>
        <v>#REF!</v>
      </c>
      <c r="K87" s="90" t="e">
        <f>+Drogi!L454+Administracja!#REF!+'Rolnictwo i Ochrona środowiska'!#REF!+'Polityka społeczna i rozwój prz'!L18</f>
        <v>#REF!</v>
      </c>
      <c r="L87" s="90" t="e">
        <f>+Drogi!M454+Administracja!#REF!+'Rolnictwo i Ochrona środowiska'!#REF!+'Polityka społeczna i rozwój prz'!M18</f>
        <v>#REF!</v>
      </c>
      <c r="M87" s="90" t="e">
        <f>+Drogi!N454+Administracja!#REF!+'Rolnictwo i Ochrona środowiska'!#REF!+'Polityka społeczna i rozwój prz'!N18</f>
        <v>#REF!</v>
      </c>
      <c r="N87" s="90"/>
      <c r="O87" s="90" t="e">
        <f>+Drogi!P454+Administracja!#REF!+'Rolnictwo i Ochrona środowiska'!#REF!+'Polityka społeczna i rozwój prz'!P18</f>
        <v>#REF!</v>
      </c>
      <c r="P87" s="90"/>
      <c r="Q87" s="198"/>
    </row>
    <row r="88" spans="1:17" hidden="1" x14ac:dyDescent="0.2">
      <c r="B88" s="8"/>
      <c r="C88" s="8"/>
      <c r="D88" s="8"/>
      <c r="E88" s="8"/>
    </row>
    <row r="89" spans="1:17" hidden="1" x14ac:dyDescent="0.2">
      <c r="B89" s="8"/>
      <c r="C89" s="8"/>
      <c r="D89" s="8"/>
      <c r="E89" s="221" t="e">
        <f t="shared" ref="E89:M89" si="46">+E86-E74</f>
        <v>#REF!</v>
      </c>
      <c r="F89" s="221" t="e">
        <f t="shared" si="46"/>
        <v>#REF!</v>
      </c>
      <c r="G89" s="221" t="e">
        <f t="shared" si="46"/>
        <v>#REF!</v>
      </c>
      <c r="H89" s="221" t="e">
        <f t="shared" si="46"/>
        <v>#REF!</v>
      </c>
      <c r="I89" s="221" t="e">
        <f t="shared" si="46"/>
        <v>#REF!</v>
      </c>
      <c r="J89" s="221" t="e">
        <f t="shared" si="46"/>
        <v>#REF!</v>
      </c>
      <c r="K89" s="221" t="e">
        <f t="shared" si="46"/>
        <v>#REF!</v>
      </c>
      <c r="L89" s="221" t="e">
        <f t="shared" si="46"/>
        <v>#REF!</v>
      </c>
      <c r="M89" s="221" t="e">
        <f t="shared" si="46"/>
        <v>#REF!</v>
      </c>
    </row>
    <row r="90" spans="1:17" hidden="1" x14ac:dyDescent="0.2">
      <c r="B90" s="8"/>
      <c r="C90" s="8"/>
      <c r="D90" s="8"/>
      <c r="E90" s="8"/>
    </row>
    <row r="91" spans="1:17" hidden="1" x14ac:dyDescent="0.2">
      <c r="B91" s="8"/>
      <c r="C91" s="8"/>
      <c r="D91" s="8"/>
      <c r="E91" s="8"/>
      <c r="M91" s="221">
        <f>+M52+M14</f>
        <v>1198429159.7125001</v>
      </c>
      <c r="N91" s="221"/>
      <c r="O91" s="221">
        <f>+O52+O14</f>
        <v>56249745.989999995</v>
      </c>
    </row>
    <row r="92" spans="1:17" hidden="1" x14ac:dyDescent="0.2">
      <c r="B92" s="8"/>
      <c r="C92" s="8"/>
      <c r="D92" s="8"/>
      <c r="E92" s="8"/>
      <c r="M92" s="221" t="e">
        <f>+M91-#REF!</f>
        <v>#REF!</v>
      </c>
      <c r="N92" s="221"/>
      <c r="O92" s="221" t="e">
        <f>+O91-#REF!</f>
        <v>#REF!</v>
      </c>
    </row>
    <row r="93" spans="1:17" hidden="1" x14ac:dyDescent="0.2">
      <c r="B93" s="8"/>
      <c r="C93" s="8"/>
      <c r="D93" s="8"/>
      <c r="E93" s="8"/>
      <c r="F93" s="221">
        <f>+F40+F74</f>
        <v>457977915</v>
      </c>
      <c r="G93" s="221"/>
    </row>
    <row r="94" spans="1:17" hidden="1" x14ac:dyDescent="0.2">
      <c r="B94" s="8"/>
      <c r="C94" s="8"/>
      <c r="D94" s="8"/>
      <c r="E94" s="8"/>
      <c r="F94" s="221">
        <f>+F41+F75</f>
        <v>287122396</v>
      </c>
      <c r="G94" s="221"/>
    </row>
    <row r="95" spans="1:17" hidden="1" x14ac:dyDescent="0.2">
      <c r="B95" s="8"/>
      <c r="C95" s="8"/>
      <c r="D95" s="8"/>
      <c r="E95" s="8"/>
    </row>
    <row r="96" spans="1:17" hidden="1" x14ac:dyDescent="0.2">
      <c r="B96" s="8" t="s">
        <v>27</v>
      </c>
      <c r="C96" s="8"/>
      <c r="D96" s="8"/>
      <c r="E96" s="8"/>
    </row>
    <row r="97" spans="2:17" hidden="1" x14ac:dyDescent="0.2">
      <c r="B97" s="8"/>
      <c r="C97" s="8"/>
      <c r="D97" s="8"/>
      <c r="E97" s="8"/>
    </row>
    <row r="98" spans="2:17" hidden="1" x14ac:dyDescent="0.2">
      <c r="B98" s="8"/>
      <c r="C98" s="8"/>
      <c r="D98" s="8"/>
      <c r="E98" s="8"/>
      <c r="F98" s="221">
        <f>+F93-F94</f>
        <v>170855519</v>
      </c>
      <c r="G98" s="221"/>
    </row>
    <row r="99" spans="2:17" hidden="1" x14ac:dyDescent="0.2">
      <c r="B99" s="8" t="s">
        <v>28</v>
      </c>
      <c r="C99" s="8"/>
      <c r="D99" s="221" t="e">
        <f>+Drogi!E14+Drogi!E449+'Polityka społeczna i rozwój prz'!E12+'Ochrona zdrowia'!E12+Oświata!E34+Administracja!E13+Administracja!E106+Kultura!E12+'Rolnictwo i Ochrona środowiska'!#REF!+'Rolnictwo i Ochrona środowiska'!E12+'Kultura fizyczna i turystyka'!E65</f>
        <v>#REF!</v>
      </c>
      <c r="E99" s="221" t="e">
        <f>+Drogi!F14+Drogi!F449+'Polityka społeczna i rozwój prz'!F12+'Ochrona zdrowia'!F12+Oświata!F34+Administracja!F13+Administracja!F106+Kultura!F12+'Rolnictwo i Ochrona środowiska'!#REF!+'Rolnictwo i Ochrona środowiska'!F12+'Kultura fizyczna i turystyka'!F65</f>
        <v>#REF!</v>
      </c>
      <c r="F99" s="221" t="e">
        <f>+Drogi!G14+Drogi!G449+'Polityka społeczna i rozwój prz'!G12+'Ochrona zdrowia'!G12+Oświata!G34+Administracja!G13+Administracja!G106+Kultura!G12+'Rolnictwo i Ochrona środowiska'!#REF!+'Rolnictwo i Ochrona środowiska'!G12+'Kultura fizyczna i turystyka'!G65</f>
        <v>#REF!</v>
      </c>
      <c r="G99" s="221"/>
      <c r="H99" s="221" t="e">
        <f>+Drogi!I14+Drogi!I449+'Polityka społeczna i rozwój prz'!K12+'Ochrona zdrowia'!K12+Oświata!K34+Administracja!K13+Administracja!K106+Kultura!K12+'Rolnictwo i Ochrona środowiska'!#REF!+'Rolnictwo i Ochrona środowiska'!K12+'Kultura fizyczna i turystyka'!K65</f>
        <v>#REF!</v>
      </c>
      <c r="I99" s="221" t="e">
        <f>+Drogi!J14+Drogi!J449+'Polityka społeczna i rozwój prz'!L12+'Ochrona zdrowia'!L12+Oświata!L34+Administracja!L13+Administracja!L106+Kultura!L12+'Rolnictwo i Ochrona środowiska'!#REF!+'Rolnictwo i Ochrona środowiska'!L12+'Kultura fizyczna i turystyka'!L65</f>
        <v>#REF!</v>
      </c>
      <c r="J99" s="221" t="e">
        <f>+Drogi!K14+Drogi!K449+'Polityka społeczna i rozwój prz'!M12+'Ochrona zdrowia'!M12+Oświata!M34+Administracja!M13+Administracja!M106+Kultura!M12+'Rolnictwo i Ochrona środowiska'!#REF!+'Rolnictwo i Ochrona środowiska'!M12+'Kultura fizyczna i turystyka'!M65</f>
        <v>#REF!</v>
      </c>
      <c r="K99" s="221" t="e">
        <f>+Drogi!L14+Drogi!L449+'Polityka społeczna i rozwój prz'!N12+'Ochrona zdrowia'!N12+Oświata!N34+Administracja!N13+Administracja!N106+Kultura!N12+'Rolnictwo i Ochrona środowiska'!#REF!+'Rolnictwo i Ochrona środowiska'!N12+'Kultura fizyczna i turystyka'!N65</f>
        <v>#REF!</v>
      </c>
      <c r="L99" s="221" t="e">
        <f>+Drogi!M14+Drogi!M449+'Polityka społeczna i rozwój prz'!O12+'Ochrona zdrowia'!O12+Oświata!O34+Administracja!O13+Administracja!O106+Kultura!O12+'Rolnictwo i Ochrona środowiska'!#REF!+'Rolnictwo i Ochrona środowiska'!O12+'Kultura fizyczna i turystyka'!O65</f>
        <v>#REF!</v>
      </c>
      <c r="M99" s="221"/>
      <c r="N99" s="221"/>
      <c r="O99" s="221"/>
      <c r="P99" s="221"/>
      <c r="Q99" s="222"/>
    </row>
    <row r="100" spans="2:17" hidden="1" x14ac:dyDescent="0.2">
      <c r="B100" s="8" t="s">
        <v>29</v>
      </c>
      <c r="C100" s="8"/>
      <c r="D100" s="221">
        <f>+D52+D14</f>
        <v>749986796.03250003</v>
      </c>
      <c r="E100" s="221">
        <f>+E52+E14</f>
        <v>404192175</v>
      </c>
      <c r="F100" s="221">
        <f>+F52+F14</f>
        <v>511195621</v>
      </c>
      <c r="G100" s="221"/>
      <c r="H100" s="221">
        <f>+H52+H14</f>
        <v>2331292758.7224998</v>
      </c>
      <c r="I100" s="221">
        <f>+I52+I14</f>
        <v>749968148.03250003</v>
      </c>
      <c r="J100" s="221">
        <f>+J52+J14</f>
        <v>392211265.68999994</v>
      </c>
      <c r="K100" s="221">
        <f>+K52+K14</f>
        <v>511195621</v>
      </c>
      <c r="L100" s="221">
        <f>+L52+L14</f>
        <v>677917724</v>
      </c>
      <c r="M100" s="221"/>
      <c r="N100" s="221"/>
      <c r="O100" s="221"/>
      <c r="P100" s="221"/>
      <c r="Q100" s="222"/>
    </row>
    <row r="101" spans="2:17" hidden="1" x14ac:dyDescent="0.2">
      <c r="B101" s="8"/>
      <c r="C101" s="8"/>
      <c r="D101" s="8"/>
      <c r="E101" s="8"/>
    </row>
    <row r="102" spans="2:17" hidden="1" x14ac:dyDescent="0.2">
      <c r="B102" s="8"/>
      <c r="C102" s="8"/>
      <c r="D102" s="221" t="e">
        <f t="shared" ref="D102:L102" si="47">+D100-D99</f>
        <v>#REF!</v>
      </c>
      <c r="E102" s="221" t="e">
        <f t="shared" si="47"/>
        <v>#REF!</v>
      </c>
      <c r="F102" s="221" t="e">
        <f t="shared" si="47"/>
        <v>#REF!</v>
      </c>
      <c r="G102" s="221"/>
      <c r="H102" s="221" t="e">
        <f t="shared" si="47"/>
        <v>#REF!</v>
      </c>
      <c r="I102" s="221" t="e">
        <f t="shared" si="47"/>
        <v>#REF!</v>
      </c>
      <c r="J102" s="221" t="e">
        <f t="shared" si="47"/>
        <v>#REF!</v>
      </c>
      <c r="K102" s="221" t="e">
        <f t="shared" si="47"/>
        <v>#REF!</v>
      </c>
      <c r="L102" s="221" t="e">
        <f t="shared" si="47"/>
        <v>#REF!</v>
      </c>
      <c r="M102" s="221"/>
      <c r="N102" s="221"/>
      <c r="O102" s="221"/>
      <c r="P102" s="221"/>
      <c r="Q102" s="222"/>
    </row>
    <row r="103" spans="2:17" hidden="1" x14ac:dyDescent="0.2">
      <c r="B103" s="8"/>
      <c r="C103" s="8"/>
      <c r="D103" s="8"/>
      <c r="E103" s="8"/>
    </row>
    <row r="104" spans="2:17" hidden="1" x14ac:dyDescent="0.2">
      <c r="B104" s="8"/>
      <c r="C104" s="8"/>
      <c r="D104" s="8"/>
      <c r="E104" s="8"/>
    </row>
    <row r="105" spans="2:17" x14ac:dyDescent="0.2">
      <c r="B105" s="8"/>
      <c r="C105" s="8"/>
      <c r="D105" s="8"/>
      <c r="E105" s="8"/>
    </row>
    <row r="106" spans="2:17" x14ac:dyDescent="0.2">
      <c r="B106" s="8"/>
      <c r="C106" s="8"/>
      <c r="D106" s="8"/>
      <c r="E106" s="8"/>
    </row>
    <row r="107" spans="2:17" x14ac:dyDescent="0.2">
      <c r="B107" s="8"/>
      <c r="C107" s="8"/>
      <c r="D107" s="8"/>
      <c r="E107" s="8"/>
    </row>
    <row r="108" spans="2:17" x14ac:dyDescent="0.2">
      <c r="B108" s="8"/>
      <c r="C108" s="8"/>
      <c r="D108" s="8"/>
      <c r="E108" s="8"/>
    </row>
    <row r="109" spans="2:17" x14ac:dyDescent="0.2">
      <c r="B109" s="8"/>
      <c r="C109" s="8"/>
      <c r="D109" s="8"/>
      <c r="E109" s="8"/>
    </row>
    <row r="110" spans="2:17" x14ac:dyDescent="0.2">
      <c r="B110" s="8"/>
      <c r="C110" s="8"/>
      <c r="D110" s="8"/>
      <c r="E110" s="8"/>
    </row>
    <row r="111" spans="2:17" x14ac:dyDescent="0.2">
      <c r="B111" s="8"/>
      <c r="C111" s="8"/>
      <c r="D111" s="8"/>
      <c r="E111" s="8"/>
    </row>
    <row r="112" spans="2:17" x14ac:dyDescent="0.2">
      <c r="B112" s="8"/>
      <c r="C112" s="8"/>
      <c r="D112" s="8"/>
      <c r="E112" s="8"/>
    </row>
    <row r="113" spans="2:5" x14ac:dyDescent="0.2">
      <c r="B113" s="8"/>
      <c r="C113" s="8"/>
      <c r="D113" s="8"/>
      <c r="E113" s="8"/>
    </row>
    <row r="114" spans="2:5" x14ac:dyDescent="0.2">
      <c r="B114" s="8"/>
      <c r="C114" s="8"/>
      <c r="D114" s="8"/>
      <c r="E114" s="8"/>
    </row>
    <row r="115" spans="2:5" x14ac:dyDescent="0.2">
      <c r="B115" s="8"/>
      <c r="C115" s="8"/>
      <c r="D115" s="8"/>
      <c r="E115" s="8"/>
    </row>
    <row r="116" spans="2:5" x14ac:dyDescent="0.2">
      <c r="B116" s="8"/>
      <c r="C116" s="8"/>
      <c r="D116" s="8"/>
      <c r="E116" s="8"/>
    </row>
    <row r="117" spans="2:5" x14ac:dyDescent="0.2">
      <c r="B117" s="8"/>
      <c r="C117" s="8"/>
      <c r="D117" s="8"/>
      <c r="E117" s="8"/>
    </row>
    <row r="118" spans="2:5" x14ac:dyDescent="0.2">
      <c r="B118" s="8"/>
      <c r="C118" s="8"/>
      <c r="D118" s="8"/>
      <c r="E118" s="8"/>
    </row>
    <row r="119" spans="2:5" x14ac:dyDescent="0.2">
      <c r="B119" s="8"/>
      <c r="C119" s="8"/>
      <c r="D119" s="8"/>
      <c r="E119" s="8"/>
    </row>
    <row r="120" spans="2:5" x14ac:dyDescent="0.2">
      <c r="B120" s="8"/>
      <c r="C120" s="8"/>
      <c r="D120" s="8"/>
      <c r="E120" s="8"/>
    </row>
    <row r="121" spans="2:5" x14ac:dyDescent="0.2">
      <c r="B121" s="8"/>
      <c r="C121" s="8"/>
      <c r="D121" s="8"/>
      <c r="E121" s="8"/>
    </row>
    <row r="122" spans="2:5" x14ac:dyDescent="0.2">
      <c r="B122" s="8"/>
      <c r="C122" s="8"/>
      <c r="D122" s="8"/>
      <c r="E122" s="8"/>
    </row>
    <row r="123" spans="2:5" x14ac:dyDescent="0.2">
      <c r="B123" s="8"/>
      <c r="C123" s="8"/>
      <c r="D123" s="8"/>
      <c r="E123" s="8"/>
    </row>
    <row r="124" spans="2:5" x14ac:dyDescent="0.2">
      <c r="B124" s="8"/>
      <c r="C124" s="8"/>
      <c r="D124" s="8"/>
      <c r="E124" s="8"/>
    </row>
    <row r="125" spans="2:5" x14ac:dyDescent="0.2">
      <c r="B125" s="8"/>
      <c r="C125" s="8"/>
      <c r="D125" s="8"/>
      <c r="E125" s="8"/>
    </row>
    <row r="126" spans="2:5" x14ac:dyDescent="0.2">
      <c r="B126" s="8"/>
      <c r="C126" s="8"/>
      <c r="D126" s="8"/>
      <c r="E126" s="8"/>
    </row>
    <row r="127" spans="2:5" x14ac:dyDescent="0.2">
      <c r="B127" s="8"/>
      <c r="C127" s="8"/>
      <c r="D127" s="8"/>
      <c r="E127" s="8"/>
    </row>
    <row r="128" spans="2:5" x14ac:dyDescent="0.2">
      <c r="B128" s="8"/>
      <c r="C128" s="8"/>
      <c r="D128" s="8"/>
      <c r="E128" s="8"/>
    </row>
    <row r="129" spans="2:5" x14ac:dyDescent="0.2">
      <c r="B129" s="8"/>
      <c r="C129" s="8"/>
      <c r="D129" s="8"/>
      <c r="E129" s="8"/>
    </row>
    <row r="130" spans="2:5" x14ac:dyDescent="0.2">
      <c r="B130" s="8"/>
      <c r="C130" s="8"/>
      <c r="D130" s="8"/>
      <c r="E130" s="8"/>
    </row>
    <row r="131" spans="2:5" x14ac:dyDescent="0.2">
      <c r="B131" s="8"/>
      <c r="C131" s="8"/>
      <c r="D131" s="8"/>
      <c r="E131" s="8"/>
    </row>
    <row r="132" spans="2:5" x14ac:dyDescent="0.2">
      <c r="B132" s="8"/>
      <c r="C132" s="8"/>
      <c r="D132" s="8"/>
      <c r="E132" s="8"/>
    </row>
    <row r="133" spans="2:5" x14ac:dyDescent="0.2">
      <c r="B133" s="8"/>
      <c r="C133" s="8"/>
      <c r="D133" s="8"/>
      <c r="E133" s="8"/>
    </row>
    <row r="134" spans="2:5" x14ac:dyDescent="0.2">
      <c r="B134" s="8"/>
      <c r="C134" s="8"/>
      <c r="D134" s="8"/>
      <c r="E134" s="8"/>
    </row>
    <row r="135" spans="2:5" x14ac:dyDescent="0.2">
      <c r="B135" s="8"/>
      <c r="C135" s="8"/>
      <c r="D135" s="8"/>
      <c r="E135" s="8"/>
    </row>
    <row r="136" spans="2:5" x14ac:dyDescent="0.2">
      <c r="B136" s="8"/>
      <c r="C136" s="8"/>
      <c r="D136" s="8"/>
      <c r="E136" s="8"/>
    </row>
    <row r="137" spans="2:5" x14ac:dyDescent="0.2">
      <c r="B137" s="8"/>
      <c r="C137" s="8"/>
      <c r="D137" s="8"/>
      <c r="E137" s="8"/>
    </row>
    <row r="138" spans="2:5" x14ac:dyDescent="0.2">
      <c r="B138" s="8"/>
      <c r="C138" s="8"/>
      <c r="D138" s="8"/>
      <c r="E138" s="8"/>
    </row>
    <row r="139" spans="2:5" x14ac:dyDescent="0.2">
      <c r="B139" s="8"/>
      <c r="C139" s="8"/>
      <c r="D139" s="8"/>
      <c r="E139" s="8"/>
    </row>
    <row r="140" spans="2:5" x14ac:dyDescent="0.2">
      <c r="B140" s="8"/>
      <c r="C140" s="8"/>
      <c r="D140" s="8"/>
      <c r="E140" s="8"/>
    </row>
    <row r="141" spans="2:5" x14ac:dyDescent="0.2">
      <c r="B141" s="8"/>
      <c r="C141" s="8"/>
      <c r="D141" s="8"/>
      <c r="E141" s="8"/>
    </row>
    <row r="142" spans="2:5" x14ac:dyDescent="0.2">
      <c r="B142" s="8"/>
      <c r="C142" s="8"/>
      <c r="D142" s="8"/>
      <c r="E142" s="8"/>
    </row>
    <row r="143" spans="2:5" x14ac:dyDescent="0.2">
      <c r="B143" s="8"/>
      <c r="C143" s="8"/>
      <c r="D143" s="8"/>
      <c r="E143" s="8"/>
    </row>
    <row r="144" spans="2:5" x14ac:dyDescent="0.2">
      <c r="B144" s="8"/>
      <c r="C144" s="8"/>
      <c r="D144" s="8"/>
      <c r="E144" s="8"/>
    </row>
    <row r="145" spans="2:5" x14ac:dyDescent="0.2">
      <c r="B145" s="8"/>
      <c r="C145" s="8"/>
      <c r="D145" s="8"/>
      <c r="E145" s="8"/>
    </row>
    <row r="146" spans="2:5" x14ac:dyDescent="0.2">
      <c r="B146" s="8"/>
      <c r="C146" s="8"/>
      <c r="D146" s="8"/>
      <c r="E146" s="8"/>
    </row>
    <row r="147" spans="2:5" x14ac:dyDescent="0.2">
      <c r="B147" s="8"/>
      <c r="C147" s="8"/>
      <c r="D147" s="8"/>
      <c r="E147" s="8"/>
    </row>
    <row r="148" spans="2:5" x14ac:dyDescent="0.2">
      <c r="B148" s="8"/>
      <c r="C148" s="8"/>
      <c r="D148" s="8"/>
      <c r="E148" s="8"/>
    </row>
    <row r="149" spans="2:5" x14ac:dyDescent="0.2">
      <c r="B149" s="8"/>
      <c r="C149" s="8"/>
      <c r="D149" s="8"/>
      <c r="E149" s="8"/>
    </row>
    <row r="150" spans="2:5" x14ac:dyDescent="0.2">
      <c r="B150" s="8"/>
      <c r="C150" s="8"/>
      <c r="D150" s="8"/>
      <c r="E150" s="8"/>
    </row>
    <row r="151" spans="2:5" x14ac:dyDescent="0.2">
      <c r="B151" s="8"/>
      <c r="C151" s="8"/>
      <c r="D151" s="8"/>
      <c r="E151" s="8"/>
    </row>
    <row r="152" spans="2:5" x14ac:dyDescent="0.2">
      <c r="B152" s="8"/>
      <c r="C152" s="8"/>
      <c r="D152" s="8"/>
      <c r="E152" s="8"/>
    </row>
    <row r="153" spans="2:5" x14ac:dyDescent="0.2">
      <c r="B153" s="8"/>
      <c r="C153" s="8"/>
      <c r="D153" s="8"/>
      <c r="E153" s="8"/>
    </row>
    <row r="154" spans="2:5" x14ac:dyDescent="0.2">
      <c r="B154" s="8"/>
      <c r="C154" s="8"/>
      <c r="D154" s="8"/>
      <c r="E154" s="8"/>
    </row>
    <row r="155" spans="2:5" x14ac:dyDescent="0.2">
      <c r="B155" s="8"/>
      <c r="C155" s="8"/>
      <c r="D155" s="8"/>
      <c r="E155" s="8"/>
    </row>
    <row r="156" spans="2:5" x14ac:dyDescent="0.2">
      <c r="B156" s="8"/>
      <c r="C156" s="8"/>
      <c r="D156" s="8"/>
      <c r="E156" s="8"/>
    </row>
    <row r="157" spans="2:5" x14ac:dyDescent="0.2">
      <c r="B157" s="8"/>
      <c r="C157" s="8"/>
      <c r="D157" s="8"/>
      <c r="E157" s="8"/>
    </row>
    <row r="158" spans="2:5" x14ac:dyDescent="0.2">
      <c r="B158" s="8"/>
      <c r="C158" s="8"/>
      <c r="D158" s="8"/>
      <c r="E158" s="8"/>
    </row>
    <row r="159" spans="2:5" x14ac:dyDescent="0.2">
      <c r="B159" s="8"/>
      <c r="C159" s="8"/>
      <c r="D159" s="8"/>
      <c r="E159" s="8"/>
    </row>
    <row r="160" spans="2:5" x14ac:dyDescent="0.2">
      <c r="B160" s="8"/>
      <c r="C160" s="8"/>
      <c r="D160" s="8"/>
      <c r="E160" s="8"/>
    </row>
    <row r="161" spans="2:5" x14ac:dyDescent="0.2">
      <c r="B161" s="8"/>
      <c r="C161" s="8"/>
      <c r="D161" s="8"/>
      <c r="E161" s="8"/>
    </row>
    <row r="162" spans="2:5" x14ac:dyDescent="0.2">
      <c r="B162" s="8"/>
      <c r="C162" s="8"/>
      <c r="D162" s="8"/>
      <c r="E162" s="8"/>
    </row>
    <row r="163" spans="2:5" x14ac:dyDescent="0.2">
      <c r="B163" s="8"/>
      <c r="C163" s="8"/>
      <c r="D163" s="8"/>
      <c r="E163" s="8"/>
    </row>
    <row r="164" spans="2:5" x14ac:dyDescent="0.2">
      <c r="B164" s="8"/>
      <c r="C164" s="8"/>
      <c r="D164" s="8"/>
      <c r="E164" s="8"/>
    </row>
    <row r="165" spans="2:5" x14ac:dyDescent="0.2">
      <c r="B165" s="8"/>
      <c r="C165" s="8"/>
      <c r="D165" s="8"/>
      <c r="E165" s="8"/>
    </row>
    <row r="166" spans="2:5" x14ac:dyDescent="0.2">
      <c r="B166" s="8"/>
      <c r="C166" s="8"/>
      <c r="D166" s="8"/>
      <c r="E166" s="8"/>
    </row>
    <row r="167" spans="2:5" x14ac:dyDescent="0.2">
      <c r="B167" s="8"/>
      <c r="C167" s="8"/>
      <c r="D167" s="8"/>
      <c r="E167" s="8"/>
    </row>
    <row r="168" spans="2:5" x14ac:dyDescent="0.2">
      <c r="B168" s="8"/>
      <c r="C168" s="8"/>
      <c r="D168" s="8"/>
      <c r="E168" s="8"/>
    </row>
    <row r="169" spans="2:5" x14ac:dyDescent="0.2">
      <c r="B169" s="8"/>
      <c r="C169" s="8"/>
      <c r="D169" s="8"/>
      <c r="E169" s="8"/>
    </row>
    <row r="170" spans="2:5" x14ac:dyDescent="0.2">
      <c r="B170" s="8"/>
      <c r="C170" s="8"/>
      <c r="D170" s="8"/>
      <c r="E170" s="8"/>
    </row>
    <row r="171" spans="2:5" x14ac:dyDescent="0.2">
      <c r="B171" s="8"/>
      <c r="C171" s="8"/>
      <c r="D171" s="8"/>
      <c r="E171" s="8"/>
    </row>
    <row r="172" spans="2:5" x14ac:dyDescent="0.2">
      <c r="B172" s="8"/>
      <c r="C172" s="8"/>
      <c r="D172" s="8"/>
      <c r="E172" s="8"/>
    </row>
    <row r="173" spans="2:5" x14ac:dyDescent="0.2">
      <c r="B173" s="8"/>
      <c r="C173" s="8"/>
      <c r="D173" s="8"/>
      <c r="E173" s="8"/>
    </row>
    <row r="174" spans="2:5" x14ac:dyDescent="0.2">
      <c r="B174" s="8"/>
      <c r="C174" s="8"/>
      <c r="D174" s="8"/>
      <c r="E174" s="8"/>
    </row>
    <row r="175" spans="2:5" x14ac:dyDescent="0.2">
      <c r="B175" s="8"/>
      <c r="C175" s="8"/>
      <c r="D175" s="8"/>
      <c r="E175" s="8"/>
    </row>
    <row r="176" spans="2:5" x14ac:dyDescent="0.2">
      <c r="B176" s="8"/>
      <c r="C176" s="8"/>
      <c r="D176" s="8"/>
      <c r="E176" s="8"/>
    </row>
    <row r="177" spans="2:5" x14ac:dyDescent="0.2">
      <c r="B177" s="8"/>
      <c r="C177" s="8"/>
      <c r="D177" s="8"/>
      <c r="E177" s="8"/>
    </row>
    <row r="178" spans="2:5" x14ac:dyDescent="0.2">
      <c r="B178" s="8"/>
      <c r="C178" s="8"/>
      <c r="D178" s="8"/>
      <c r="E178" s="8"/>
    </row>
    <row r="179" spans="2:5" x14ac:dyDescent="0.2">
      <c r="B179" s="8"/>
      <c r="C179" s="8"/>
      <c r="D179" s="8"/>
      <c r="E179" s="8"/>
    </row>
    <row r="180" spans="2:5" x14ac:dyDescent="0.2">
      <c r="B180" s="8"/>
      <c r="C180" s="8"/>
      <c r="D180" s="8"/>
      <c r="E180" s="8"/>
    </row>
    <row r="181" spans="2:5" x14ac:dyDescent="0.2">
      <c r="B181" s="8"/>
      <c r="C181" s="8"/>
      <c r="D181" s="8"/>
      <c r="E181" s="8"/>
    </row>
    <row r="182" spans="2:5" x14ac:dyDescent="0.2">
      <c r="B182" s="8"/>
      <c r="C182" s="8"/>
      <c r="D182" s="8"/>
      <c r="E182" s="8"/>
    </row>
    <row r="183" spans="2:5" x14ac:dyDescent="0.2">
      <c r="B183" s="8"/>
      <c r="C183" s="8"/>
      <c r="D183" s="8"/>
      <c r="E183" s="8"/>
    </row>
    <row r="184" spans="2:5" x14ac:dyDescent="0.2">
      <c r="B184" s="8"/>
      <c r="C184" s="8"/>
      <c r="D184" s="8"/>
      <c r="E184" s="8"/>
    </row>
    <row r="185" spans="2:5" x14ac:dyDescent="0.2">
      <c r="B185" s="8"/>
      <c r="C185" s="8"/>
      <c r="D185" s="8"/>
      <c r="E185" s="8"/>
    </row>
    <row r="186" spans="2:5" x14ac:dyDescent="0.2">
      <c r="B186" s="8"/>
      <c r="C186" s="8"/>
      <c r="D186" s="8"/>
      <c r="E186" s="8"/>
    </row>
    <row r="187" spans="2:5" x14ac:dyDescent="0.2">
      <c r="B187" s="8"/>
      <c r="C187" s="8"/>
      <c r="D187" s="8"/>
      <c r="E187" s="8"/>
    </row>
    <row r="188" spans="2:5" x14ac:dyDescent="0.2">
      <c r="B188" s="8"/>
      <c r="C188" s="8"/>
      <c r="D188" s="8"/>
      <c r="E188" s="8"/>
    </row>
    <row r="189" spans="2:5" x14ac:dyDescent="0.2">
      <c r="B189" s="8"/>
      <c r="C189" s="8"/>
      <c r="D189" s="8"/>
      <c r="E189" s="8"/>
    </row>
    <row r="190" spans="2:5" x14ac:dyDescent="0.2">
      <c r="B190" s="8"/>
      <c r="C190" s="8"/>
      <c r="D190" s="8"/>
      <c r="E190" s="8"/>
    </row>
    <row r="191" spans="2:5" x14ac:dyDescent="0.2">
      <c r="B191" s="8"/>
      <c r="C191" s="8"/>
      <c r="D191" s="8"/>
      <c r="E191" s="8"/>
    </row>
    <row r="192" spans="2:5" x14ac:dyDescent="0.2">
      <c r="B192" s="8"/>
      <c r="C192" s="8"/>
      <c r="D192" s="8"/>
      <c r="E192" s="8"/>
    </row>
    <row r="193" spans="2:5" x14ac:dyDescent="0.2">
      <c r="B193" s="8"/>
      <c r="C193" s="8"/>
      <c r="D193" s="8"/>
      <c r="E193" s="8"/>
    </row>
    <row r="194" spans="2:5" x14ac:dyDescent="0.2">
      <c r="B194" s="8"/>
      <c r="C194" s="8"/>
      <c r="D194" s="8"/>
      <c r="E194" s="8"/>
    </row>
    <row r="195" spans="2:5" x14ac:dyDescent="0.2">
      <c r="B195" s="8"/>
      <c r="C195" s="8"/>
      <c r="D195" s="8"/>
      <c r="E195" s="8"/>
    </row>
    <row r="196" spans="2:5" x14ac:dyDescent="0.2">
      <c r="B196" s="8"/>
      <c r="C196" s="8"/>
      <c r="D196" s="8"/>
      <c r="E196" s="8"/>
    </row>
    <row r="197" spans="2:5" x14ac:dyDescent="0.2">
      <c r="B197" s="8"/>
      <c r="C197" s="8"/>
      <c r="D197" s="8"/>
      <c r="E197" s="8"/>
    </row>
    <row r="198" spans="2:5" x14ac:dyDescent="0.2">
      <c r="B198" s="8"/>
      <c r="C198" s="8"/>
      <c r="D198" s="8"/>
      <c r="E198" s="8"/>
    </row>
    <row r="199" spans="2:5" x14ac:dyDescent="0.2">
      <c r="B199" s="8"/>
      <c r="C199" s="8"/>
      <c r="D199" s="8"/>
      <c r="E199" s="8"/>
    </row>
    <row r="200" spans="2:5" x14ac:dyDescent="0.2">
      <c r="B200" s="8"/>
      <c r="C200" s="8"/>
      <c r="D200" s="8"/>
      <c r="E200" s="8"/>
    </row>
    <row r="201" spans="2:5" x14ac:dyDescent="0.2">
      <c r="B201" s="8"/>
      <c r="C201" s="8"/>
      <c r="D201" s="8"/>
      <c r="E201" s="8"/>
    </row>
    <row r="202" spans="2:5" x14ac:dyDescent="0.2">
      <c r="B202" s="8"/>
      <c r="C202" s="8"/>
      <c r="D202" s="8"/>
      <c r="E202" s="8"/>
    </row>
    <row r="203" spans="2:5" x14ac:dyDescent="0.2">
      <c r="B203" s="8"/>
      <c r="C203" s="8"/>
      <c r="D203" s="8"/>
      <c r="E203" s="8"/>
    </row>
    <row r="204" spans="2:5" x14ac:dyDescent="0.2">
      <c r="B204" s="8"/>
      <c r="C204" s="8"/>
      <c r="D204" s="8"/>
      <c r="E204" s="8"/>
    </row>
    <row r="205" spans="2:5" x14ac:dyDescent="0.2">
      <c r="B205" s="8"/>
      <c r="C205" s="8"/>
      <c r="D205" s="8"/>
      <c r="E205" s="8"/>
    </row>
    <row r="206" spans="2:5" x14ac:dyDescent="0.2">
      <c r="B206" s="8"/>
      <c r="C206" s="8"/>
      <c r="D206" s="8"/>
      <c r="E206" s="8"/>
    </row>
    <row r="207" spans="2:5" x14ac:dyDescent="0.2">
      <c r="B207" s="8"/>
      <c r="C207" s="8"/>
      <c r="D207" s="8"/>
      <c r="E207" s="8"/>
    </row>
    <row r="208" spans="2:5" x14ac:dyDescent="0.2">
      <c r="B208" s="8"/>
      <c r="C208" s="8"/>
      <c r="D208" s="8"/>
      <c r="E208" s="8"/>
    </row>
    <row r="209" spans="2:5" x14ac:dyDescent="0.2">
      <c r="B209" s="8"/>
      <c r="C209" s="8"/>
      <c r="D209" s="8"/>
      <c r="E209" s="8"/>
    </row>
    <row r="210" spans="2:5" x14ac:dyDescent="0.2">
      <c r="B210" s="8"/>
      <c r="C210" s="8"/>
      <c r="D210" s="8"/>
      <c r="E210" s="8"/>
    </row>
    <row r="211" spans="2:5" x14ac:dyDescent="0.2">
      <c r="B211" s="8"/>
      <c r="C211" s="8"/>
      <c r="D211" s="8"/>
      <c r="E211" s="8"/>
    </row>
    <row r="212" spans="2:5" x14ac:dyDescent="0.2">
      <c r="B212" s="8"/>
      <c r="C212" s="8"/>
      <c r="D212" s="8"/>
      <c r="E212" s="8"/>
    </row>
    <row r="213" spans="2:5" x14ac:dyDescent="0.2">
      <c r="B213" s="8"/>
      <c r="C213" s="8"/>
      <c r="D213" s="8"/>
      <c r="E213" s="8"/>
    </row>
    <row r="214" spans="2:5" x14ac:dyDescent="0.2">
      <c r="B214" s="8"/>
      <c r="C214" s="8"/>
      <c r="D214" s="8"/>
      <c r="E214" s="8"/>
    </row>
    <row r="215" spans="2:5" x14ac:dyDescent="0.2">
      <c r="B215" s="8"/>
      <c r="C215" s="8"/>
      <c r="D215" s="8"/>
      <c r="E215" s="8"/>
    </row>
    <row r="216" spans="2:5" x14ac:dyDescent="0.2">
      <c r="B216" s="8"/>
      <c r="C216" s="8"/>
      <c r="D216" s="8"/>
      <c r="E216" s="8"/>
    </row>
    <row r="217" spans="2:5" x14ac:dyDescent="0.2">
      <c r="B217" s="8"/>
      <c r="C217" s="8"/>
      <c r="D217" s="8"/>
      <c r="E217" s="8"/>
    </row>
    <row r="218" spans="2:5" x14ac:dyDescent="0.2">
      <c r="B218" s="8"/>
      <c r="C218" s="8"/>
      <c r="D218" s="8"/>
      <c r="E218" s="8"/>
    </row>
    <row r="219" spans="2:5" x14ac:dyDescent="0.2">
      <c r="B219" s="8"/>
      <c r="C219" s="8"/>
      <c r="D219" s="8"/>
      <c r="E219" s="8"/>
    </row>
    <row r="220" spans="2:5" x14ac:dyDescent="0.2">
      <c r="B220" s="8"/>
      <c r="C220" s="8"/>
      <c r="D220" s="8"/>
      <c r="E220" s="8"/>
    </row>
    <row r="221" spans="2:5" x14ac:dyDescent="0.2">
      <c r="B221" s="8"/>
      <c r="C221" s="8"/>
      <c r="D221" s="8"/>
      <c r="E221" s="8"/>
    </row>
    <row r="222" spans="2:5" x14ac:dyDescent="0.2">
      <c r="B222" s="8"/>
      <c r="C222" s="8"/>
      <c r="D222" s="8"/>
      <c r="E222" s="8"/>
    </row>
    <row r="223" spans="2:5" x14ac:dyDescent="0.2">
      <c r="B223" s="8"/>
      <c r="C223" s="8"/>
      <c r="D223" s="8"/>
      <c r="E223" s="8"/>
    </row>
    <row r="224" spans="2:5" x14ac:dyDescent="0.2">
      <c r="B224" s="8"/>
      <c r="C224" s="8"/>
      <c r="D224" s="8"/>
      <c r="E224" s="8"/>
    </row>
    <row r="225" spans="2:5" x14ac:dyDescent="0.2">
      <c r="B225" s="8"/>
      <c r="C225" s="8"/>
      <c r="D225" s="8"/>
      <c r="E225" s="8"/>
    </row>
    <row r="226" spans="2:5" x14ac:dyDescent="0.2">
      <c r="B226" s="8"/>
      <c r="C226" s="8"/>
      <c r="D226" s="8"/>
      <c r="E226" s="8"/>
    </row>
    <row r="227" spans="2:5" x14ac:dyDescent="0.2">
      <c r="B227" s="8"/>
      <c r="C227" s="8"/>
      <c r="D227" s="8"/>
      <c r="E227" s="8"/>
    </row>
    <row r="228" spans="2:5" x14ac:dyDescent="0.2">
      <c r="B228" s="8"/>
      <c r="C228" s="8"/>
      <c r="D228" s="8"/>
      <c r="E228" s="8"/>
    </row>
    <row r="229" spans="2:5" x14ac:dyDescent="0.2">
      <c r="B229" s="8"/>
      <c r="C229" s="8"/>
      <c r="D229" s="8"/>
      <c r="E229" s="8"/>
    </row>
    <row r="230" spans="2:5" x14ac:dyDescent="0.2">
      <c r="B230" s="8"/>
      <c r="C230" s="8"/>
      <c r="D230" s="8"/>
      <c r="E230" s="8"/>
    </row>
    <row r="231" spans="2:5" x14ac:dyDescent="0.2">
      <c r="B231" s="8"/>
      <c r="C231" s="8"/>
      <c r="D231" s="8"/>
      <c r="E231" s="8"/>
    </row>
    <row r="232" spans="2:5" x14ac:dyDescent="0.2">
      <c r="B232" s="8"/>
      <c r="C232" s="8"/>
      <c r="D232" s="8"/>
      <c r="E232" s="8"/>
    </row>
    <row r="233" spans="2:5" x14ac:dyDescent="0.2">
      <c r="B233" s="8"/>
      <c r="C233" s="8"/>
      <c r="D233" s="8"/>
      <c r="E233" s="8"/>
    </row>
    <row r="234" spans="2:5" x14ac:dyDescent="0.2">
      <c r="B234" s="8"/>
      <c r="C234" s="8"/>
      <c r="D234" s="8"/>
      <c r="E234" s="8"/>
    </row>
    <row r="235" spans="2:5" x14ac:dyDescent="0.2">
      <c r="B235" s="8"/>
      <c r="C235" s="8"/>
      <c r="D235" s="8"/>
      <c r="E235" s="8"/>
    </row>
    <row r="236" spans="2:5" x14ac:dyDescent="0.2">
      <c r="B236" s="8"/>
      <c r="C236" s="8"/>
      <c r="D236" s="8"/>
      <c r="E236" s="8"/>
    </row>
    <row r="237" spans="2:5" x14ac:dyDescent="0.2">
      <c r="B237" s="8"/>
      <c r="C237" s="8"/>
      <c r="D237" s="8"/>
      <c r="E237" s="8"/>
    </row>
    <row r="238" spans="2:5" x14ac:dyDescent="0.2">
      <c r="B238" s="8"/>
      <c r="C238" s="8"/>
      <c r="D238" s="8"/>
      <c r="E238" s="8"/>
    </row>
    <row r="239" spans="2:5" x14ac:dyDescent="0.2">
      <c r="B239" s="8"/>
      <c r="C239" s="8"/>
      <c r="D239" s="8"/>
      <c r="E239" s="8"/>
    </row>
    <row r="240" spans="2:5" x14ac:dyDescent="0.2">
      <c r="B240" s="8"/>
      <c r="C240" s="8"/>
      <c r="D240" s="8"/>
      <c r="E240" s="8"/>
    </row>
    <row r="241" spans="2:5" x14ac:dyDescent="0.2">
      <c r="B241" s="8"/>
      <c r="C241" s="8"/>
      <c r="D241" s="8"/>
      <c r="E241" s="8"/>
    </row>
    <row r="242" spans="2:5" x14ac:dyDescent="0.2">
      <c r="B242" s="8"/>
      <c r="C242" s="8"/>
      <c r="D242" s="8"/>
      <c r="E242" s="8"/>
    </row>
    <row r="243" spans="2:5" x14ac:dyDescent="0.2">
      <c r="B243" s="8"/>
      <c r="C243" s="8"/>
      <c r="D243" s="8"/>
      <c r="E243" s="8"/>
    </row>
    <row r="244" spans="2:5" x14ac:dyDescent="0.2">
      <c r="B244" s="8"/>
      <c r="C244" s="8"/>
      <c r="D244" s="8"/>
      <c r="E244" s="8"/>
    </row>
    <row r="245" spans="2:5" x14ac:dyDescent="0.2">
      <c r="B245" s="8"/>
      <c r="C245" s="8"/>
      <c r="D245" s="8"/>
      <c r="E245" s="8"/>
    </row>
    <row r="246" spans="2:5" x14ac:dyDescent="0.2">
      <c r="B246" s="8"/>
      <c r="C246" s="8"/>
      <c r="D246" s="8"/>
      <c r="E246" s="8"/>
    </row>
    <row r="247" spans="2:5" x14ac:dyDescent="0.2">
      <c r="B247" s="8"/>
      <c r="C247" s="8"/>
      <c r="D247" s="8"/>
      <c r="E247" s="8"/>
    </row>
    <row r="248" spans="2:5" x14ac:dyDescent="0.2">
      <c r="B248" s="8"/>
      <c r="C248" s="8"/>
      <c r="D248" s="8"/>
      <c r="E248" s="8"/>
    </row>
    <row r="249" spans="2:5" x14ac:dyDescent="0.2">
      <c r="B249" s="8"/>
      <c r="C249" s="8"/>
      <c r="D249" s="8"/>
      <c r="E249" s="8"/>
    </row>
    <row r="250" spans="2:5" x14ac:dyDescent="0.2">
      <c r="B250" s="8"/>
      <c r="C250" s="8"/>
      <c r="D250" s="8"/>
      <c r="E250" s="8"/>
    </row>
    <row r="251" spans="2:5" x14ac:dyDescent="0.2">
      <c r="B251" s="8"/>
      <c r="C251" s="8"/>
      <c r="D251" s="8"/>
      <c r="E251" s="8"/>
    </row>
    <row r="252" spans="2:5" x14ac:dyDescent="0.2">
      <c r="B252" s="8"/>
      <c r="C252" s="8"/>
      <c r="D252" s="8"/>
      <c r="E252" s="8"/>
    </row>
    <row r="253" spans="2:5" x14ac:dyDescent="0.2">
      <c r="B253" s="8"/>
      <c r="C253" s="8"/>
      <c r="D253" s="8"/>
      <c r="E253" s="8"/>
    </row>
    <row r="254" spans="2:5" x14ac:dyDescent="0.2">
      <c r="B254" s="8"/>
      <c r="C254" s="8"/>
      <c r="D254" s="8"/>
      <c r="E254" s="8"/>
    </row>
    <row r="255" spans="2:5" x14ac:dyDescent="0.2">
      <c r="B255" s="8"/>
      <c r="C255" s="8"/>
      <c r="D255" s="8"/>
      <c r="E255" s="8"/>
    </row>
    <row r="256" spans="2:5" x14ac:dyDescent="0.2">
      <c r="B256" s="8"/>
      <c r="C256" s="8"/>
      <c r="D256" s="8"/>
      <c r="E256" s="8"/>
    </row>
    <row r="257" spans="2:5" x14ac:dyDescent="0.2">
      <c r="B257" s="8"/>
      <c r="C257" s="8"/>
      <c r="D257" s="8"/>
      <c r="E257" s="8"/>
    </row>
    <row r="258" spans="2:5" x14ac:dyDescent="0.2">
      <c r="B258" s="8"/>
      <c r="C258" s="8"/>
      <c r="D258" s="8"/>
      <c r="E258" s="8"/>
    </row>
    <row r="259" spans="2:5" x14ac:dyDescent="0.2">
      <c r="B259" s="8"/>
      <c r="C259" s="8"/>
      <c r="D259" s="8"/>
      <c r="E259" s="8"/>
    </row>
    <row r="260" spans="2:5" x14ac:dyDescent="0.2">
      <c r="B260" s="8"/>
      <c r="C260" s="8"/>
      <c r="D260" s="8"/>
      <c r="E260" s="8"/>
    </row>
    <row r="261" spans="2:5" x14ac:dyDescent="0.2">
      <c r="B261" s="8"/>
      <c r="C261" s="8"/>
      <c r="D261" s="8"/>
      <c r="E261" s="8"/>
    </row>
    <row r="262" spans="2:5" x14ac:dyDescent="0.2">
      <c r="B262" s="8"/>
      <c r="C262" s="8"/>
      <c r="D262" s="8"/>
      <c r="E262" s="8"/>
    </row>
    <row r="263" spans="2:5" x14ac:dyDescent="0.2">
      <c r="B263" s="8"/>
      <c r="C263" s="8"/>
      <c r="D263" s="8"/>
      <c r="E263" s="8"/>
    </row>
    <row r="264" spans="2:5" x14ac:dyDescent="0.2">
      <c r="B264" s="8"/>
      <c r="C264" s="8"/>
      <c r="D264" s="8"/>
      <c r="E264" s="8"/>
    </row>
    <row r="265" spans="2:5" x14ac:dyDescent="0.2">
      <c r="B265" s="8"/>
      <c r="C265" s="8"/>
      <c r="D265" s="8"/>
      <c r="E265" s="8"/>
    </row>
    <row r="266" spans="2:5" x14ac:dyDescent="0.2">
      <c r="B266" s="8"/>
      <c r="C266" s="8"/>
      <c r="D266" s="8"/>
      <c r="E266" s="8"/>
    </row>
    <row r="267" spans="2:5" x14ac:dyDescent="0.2">
      <c r="B267" s="8"/>
      <c r="C267" s="8"/>
      <c r="D267" s="8"/>
      <c r="E267" s="8"/>
    </row>
    <row r="268" spans="2:5" x14ac:dyDescent="0.2">
      <c r="B268" s="8"/>
      <c r="C268" s="8"/>
      <c r="D268" s="8"/>
      <c r="E268" s="8"/>
    </row>
    <row r="269" spans="2:5" x14ac:dyDescent="0.2">
      <c r="B269" s="8"/>
      <c r="C269" s="8"/>
      <c r="D269" s="8"/>
      <c r="E269" s="8"/>
    </row>
    <row r="270" spans="2:5" x14ac:dyDescent="0.2">
      <c r="B270" s="8"/>
      <c r="C270" s="8"/>
      <c r="D270" s="8"/>
      <c r="E270" s="8"/>
    </row>
    <row r="271" spans="2:5" x14ac:dyDescent="0.2">
      <c r="B271" s="8"/>
      <c r="C271" s="8"/>
      <c r="D271" s="8"/>
      <c r="E271" s="8"/>
    </row>
    <row r="272" spans="2:5" x14ac:dyDescent="0.2">
      <c r="B272" s="8"/>
      <c r="C272" s="8"/>
      <c r="D272" s="8"/>
      <c r="E272" s="8"/>
    </row>
    <row r="273" spans="2:5" x14ac:dyDescent="0.2">
      <c r="B273" s="8"/>
      <c r="C273" s="8"/>
      <c r="D273" s="8"/>
      <c r="E273" s="8"/>
    </row>
    <row r="274" spans="2:5" x14ac:dyDescent="0.2">
      <c r="B274" s="8"/>
      <c r="C274" s="8"/>
      <c r="D274" s="8"/>
      <c r="E274" s="8"/>
    </row>
    <row r="275" spans="2:5" x14ac:dyDescent="0.2">
      <c r="B275" s="8"/>
      <c r="C275" s="8"/>
      <c r="D275" s="8"/>
      <c r="E275" s="8"/>
    </row>
    <row r="276" spans="2:5" x14ac:dyDescent="0.2">
      <c r="B276" s="8"/>
      <c r="C276" s="8"/>
      <c r="D276" s="8"/>
      <c r="E276" s="8"/>
    </row>
    <row r="277" spans="2:5" x14ac:dyDescent="0.2">
      <c r="B277" s="8"/>
      <c r="C277" s="8"/>
      <c r="D277" s="8"/>
      <c r="E277" s="8"/>
    </row>
    <row r="278" spans="2:5" x14ac:dyDescent="0.2">
      <c r="B278" s="8"/>
      <c r="C278" s="8"/>
      <c r="D278" s="8"/>
      <c r="E278" s="8"/>
    </row>
    <row r="279" spans="2:5" x14ac:dyDescent="0.2">
      <c r="B279" s="8"/>
      <c r="C279" s="8"/>
      <c r="D279" s="8"/>
      <c r="E279" s="8"/>
    </row>
    <row r="280" spans="2:5" x14ac:dyDescent="0.2">
      <c r="B280" s="8"/>
      <c r="C280" s="8"/>
      <c r="D280" s="8"/>
      <c r="E280" s="8"/>
    </row>
    <row r="281" spans="2:5" x14ac:dyDescent="0.2">
      <c r="B281" s="8"/>
      <c r="C281" s="8"/>
      <c r="D281" s="8"/>
      <c r="E281" s="8"/>
    </row>
    <row r="282" spans="2:5" x14ac:dyDescent="0.2">
      <c r="B282" s="8"/>
      <c r="C282" s="8"/>
      <c r="D282" s="8"/>
      <c r="E282" s="8"/>
    </row>
    <row r="283" spans="2:5" x14ac:dyDescent="0.2">
      <c r="B283" s="8"/>
      <c r="C283" s="8"/>
      <c r="D283" s="8"/>
      <c r="E283" s="8"/>
    </row>
    <row r="284" spans="2:5" x14ac:dyDescent="0.2">
      <c r="B284" s="8"/>
      <c r="C284" s="8"/>
      <c r="D284" s="8"/>
      <c r="E284" s="8"/>
    </row>
    <row r="285" spans="2:5" x14ac:dyDescent="0.2">
      <c r="B285" s="8"/>
      <c r="C285" s="8"/>
      <c r="D285" s="8"/>
      <c r="E285" s="8"/>
    </row>
    <row r="286" spans="2:5" x14ac:dyDescent="0.2">
      <c r="B286" s="8"/>
      <c r="C286" s="8"/>
      <c r="D286" s="8"/>
      <c r="E286" s="8"/>
    </row>
    <row r="287" spans="2:5" x14ac:dyDescent="0.2">
      <c r="B287" s="8"/>
      <c r="C287" s="8"/>
      <c r="D287" s="8"/>
      <c r="E287" s="8"/>
    </row>
    <row r="288" spans="2:5" x14ac:dyDescent="0.2">
      <c r="B288" s="8"/>
      <c r="C288" s="8"/>
      <c r="D288" s="8"/>
      <c r="E288" s="8"/>
    </row>
    <row r="289" spans="2:5" x14ac:dyDescent="0.2">
      <c r="B289" s="8"/>
      <c r="C289" s="8"/>
      <c r="D289" s="8"/>
      <c r="E289" s="8"/>
    </row>
    <row r="290" spans="2:5" x14ac:dyDescent="0.2">
      <c r="B290" s="8"/>
      <c r="C290" s="8"/>
      <c r="D290" s="8"/>
      <c r="E290" s="8"/>
    </row>
    <row r="291" spans="2:5" x14ac:dyDescent="0.2">
      <c r="B291" s="8"/>
      <c r="C291" s="8"/>
      <c r="D291" s="8"/>
      <c r="E291" s="8"/>
    </row>
    <row r="292" spans="2:5" x14ac:dyDescent="0.2">
      <c r="B292" s="8"/>
      <c r="C292" s="8"/>
      <c r="D292" s="8"/>
      <c r="E292" s="8"/>
    </row>
    <row r="293" spans="2:5" x14ac:dyDescent="0.2">
      <c r="B293" s="8"/>
      <c r="C293" s="8"/>
      <c r="D293" s="8"/>
      <c r="E293" s="8"/>
    </row>
    <row r="294" spans="2:5" x14ac:dyDescent="0.2">
      <c r="B294" s="8"/>
      <c r="C294" s="8"/>
      <c r="D294" s="8"/>
      <c r="E294" s="8"/>
    </row>
    <row r="295" spans="2:5" x14ac:dyDescent="0.2">
      <c r="B295" s="8"/>
      <c r="C295" s="8"/>
      <c r="D295" s="8"/>
      <c r="E295" s="8"/>
    </row>
    <row r="296" spans="2:5" x14ac:dyDescent="0.2">
      <c r="B296" s="8"/>
      <c r="C296" s="8"/>
      <c r="D296" s="8"/>
      <c r="E296" s="8"/>
    </row>
    <row r="297" spans="2:5" x14ac:dyDescent="0.2">
      <c r="B297" s="8"/>
      <c r="C297" s="8"/>
      <c r="D297" s="8"/>
      <c r="E297" s="8"/>
    </row>
    <row r="298" spans="2:5" x14ac:dyDescent="0.2">
      <c r="B298" s="8"/>
      <c r="C298" s="8"/>
      <c r="D298" s="8"/>
      <c r="E298" s="8"/>
    </row>
    <row r="299" spans="2:5" x14ac:dyDescent="0.2">
      <c r="B299" s="8"/>
      <c r="C299" s="8"/>
      <c r="D299" s="8"/>
      <c r="E299" s="8"/>
    </row>
    <row r="300" spans="2:5" x14ac:dyDescent="0.2">
      <c r="B300" s="8"/>
      <c r="C300" s="8"/>
      <c r="D300" s="8"/>
      <c r="E300" s="8"/>
    </row>
    <row r="301" spans="2:5" x14ac:dyDescent="0.2">
      <c r="B301" s="8"/>
      <c r="C301" s="8"/>
      <c r="D301" s="8"/>
      <c r="E301" s="8"/>
    </row>
    <row r="302" spans="2:5" x14ac:dyDescent="0.2">
      <c r="B302" s="8"/>
      <c r="C302" s="8"/>
      <c r="D302" s="8"/>
      <c r="E302" s="8"/>
    </row>
    <row r="303" spans="2:5" x14ac:dyDescent="0.2">
      <c r="B303" s="8"/>
      <c r="C303" s="8"/>
      <c r="D303" s="8"/>
      <c r="E303" s="8"/>
    </row>
    <row r="304" spans="2:5" x14ac:dyDescent="0.2">
      <c r="B304" s="8"/>
      <c r="C304" s="8"/>
      <c r="D304" s="8"/>
      <c r="E304" s="8"/>
    </row>
    <row r="305" spans="2:5" x14ac:dyDescent="0.2">
      <c r="B305" s="8"/>
      <c r="C305" s="8"/>
      <c r="D305" s="8"/>
      <c r="E305" s="8"/>
    </row>
    <row r="306" spans="2:5" x14ac:dyDescent="0.2">
      <c r="B306" s="8"/>
      <c r="C306" s="8"/>
      <c r="D306" s="8"/>
      <c r="E306" s="8"/>
    </row>
    <row r="307" spans="2:5" x14ac:dyDescent="0.2">
      <c r="B307" s="8"/>
      <c r="C307" s="8"/>
      <c r="D307" s="8"/>
      <c r="E307" s="8"/>
    </row>
    <row r="308" spans="2:5" x14ac:dyDescent="0.2">
      <c r="B308" s="8"/>
      <c r="C308" s="8"/>
      <c r="D308" s="8"/>
      <c r="E308" s="8"/>
    </row>
    <row r="309" spans="2:5" x14ac:dyDescent="0.2">
      <c r="B309" s="8"/>
      <c r="C309" s="8"/>
      <c r="D309" s="8"/>
      <c r="E309" s="8"/>
    </row>
    <row r="310" spans="2:5" x14ac:dyDescent="0.2">
      <c r="B310" s="8"/>
      <c r="C310" s="8"/>
      <c r="D310" s="8"/>
      <c r="E310" s="8"/>
    </row>
    <row r="311" spans="2:5" x14ac:dyDescent="0.2">
      <c r="B311" s="8"/>
      <c r="C311" s="8"/>
      <c r="D311" s="8"/>
      <c r="E311" s="8"/>
    </row>
    <row r="312" spans="2:5" x14ac:dyDescent="0.2">
      <c r="B312" s="8"/>
      <c r="C312" s="8"/>
      <c r="D312" s="8"/>
      <c r="E312" s="8"/>
    </row>
    <row r="313" spans="2:5" x14ac:dyDescent="0.2">
      <c r="B313" s="8"/>
      <c r="C313" s="8"/>
      <c r="D313" s="8"/>
      <c r="E313" s="8"/>
    </row>
    <row r="314" spans="2:5" x14ac:dyDescent="0.2">
      <c r="B314" s="8"/>
      <c r="C314" s="8"/>
      <c r="D314" s="8"/>
      <c r="E314" s="8"/>
    </row>
    <row r="315" spans="2:5" x14ac:dyDescent="0.2">
      <c r="B315" s="8"/>
      <c r="C315" s="8"/>
      <c r="D315" s="8"/>
      <c r="E315" s="8"/>
    </row>
    <row r="316" spans="2:5" x14ac:dyDescent="0.2">
      <c r="B316" s="8"/>
      <c r="C316" s="8"/>
      <c r="D316" s="8"/>
      <c r="E316" s="8"/>
    </row>
    <row r="317" spans="2:5" x14ac:dyDescent="0.2">
      <c r="B317" s="8"/>
      <c r="C317" s="8"/>
      <c r="D317" s="8"/>
      <c r="E317" s="8"/>
    </row>
    <row r="318" spans="2:5" x14ac:dyDescent="0.2">
      <c r="B318" s="8"/>
      <c r="C318" s="8"/>
      <c r="D318" s="8"/>
      <c r="E318" s="8"/>
    </row>
    <row r="319" spans="2:5" x14ac:dyDescent="0.2">
      <c r="B319" s="8"/>
      <c r="C319" s="8"/>
      <c r="D319" s="8"/>
      <c r="E319" s="8"/>
    </row>
    <row r="320" spans="2:5" x14ac:dyDescent="0.2">
      <c r="B320" s="8"/>
      <c r="C320" s="8"/>
      <c r="D320" s="8"/>
      <c r="E320" s="8"/>
    </row>
    <row r="321" spans="2:5" x14ac:dyDescent="0.2">
      <c r="B321" s="8"/>
      <c r="C321" s="8"/>
      <c r="D321" s="8"/>
      <c r="E321" s="8"/>
    </row>
    <row r="322" spans="2:5" x14ac:dyDescent="0.2">
      <c r="B322" s="8"/>
      <c r="C322" s="8"/>
      <c r="D322" s="8"/>
      <c r="E322" s="8"/>
    </row>
    <row r="323" spans="2:5" x14ac:dyDescent="0.2">
      <c r="B323" s="8"/>
      <c r="C323" s="8"/>
      <c r="D323" s="8"/>
      <c r="E323" s="8"/>
    </row>
    <row r="324" spans="2:5" x14ac:dyDescent="0.2">
      <c r="B324" s="8"/>
      <c r="C324" s="8"/>
      <c r="D324" s="8"/>
      <c r="E324" s="8"/>
    </row>
    <row r="325" spans="2:5" x14ac:dyDescent="0.2">
      <c r="B325" s="8"/>
      <c r="C325" s="8"/>
      <c r="D325" s="8"/>
      <c r="E325" s="8"/>
    </row>
    <row r="326" spans="2:5" x14ac:dyDescent="0.2">
      <c r="B326" s="8"/>
      <c r="C326" s="8"/>
      <c r="D326" s="8"/>
      <c r="E326" s="8"/>
    </row>
    <row r="327" spans="2:5" x14ac:dyDescent="0.2">
      <c r="B327" s="8"/>
      <c r="C327" s="8"/>
      <c r="D327" s="8"/>
      <c r="E327" s="8"/>
    </row>
    <row r="328" spans="2:5" x14ac:dyDescent="0.2">
      <c r="B328" s="8"/>
      <c r="C328" s="8"/>
      <c r="D328" s="8"/>
      <c r="E328" s="8"/>
    </row>
    <row r="329" spans="2:5" x14ac:dyDescent="0.2">
      <c r="B329" s="8"/>
      <c r="C329" s="8"/>
      <c r="D329" s="8"/>
      <c r="E329" s="8"/>
    </row>
    <row r="330" spans="2:5" x14ac:dyDescent="0.2">
      <c r="B330" s="8"/>
      <c r="C330" s="8"/>
      <c r="D330" s="8"/>
      <c r="E330" s="8"/>
    </row>
    <row r="331" spans="2:5" x14ac:dyDescent="0.2">
      <c r="B331" s="8"/>
      <c r="C331" s="8"/>
      <c r="D331" s="8"/>
      <c r="E331" s="8"/>
    </row>
    <row r="332" spans="2:5" x14ac:dyDescent="0.2">
      <c r="B332" s="8"/>
      <c r="C332" s="8"/>
      <c r="D332" s="8"/>
      <c r="E332" s="8"/>
    </row>
    <row r="333" spans="2:5" x14ac:dyDescent="0.2">
      <c r="B333" s="8"/>
      <c r="C333" s="8"/>
      <c r="D333" s="8"/>
      <c r="E333" s="8"/>
    </row>
    <row r="334" spans="2:5" x14ac:dyDescent="0.2">
      <c r="B334" s="8"/>
      <c r="C334" s="8"/>
      <c r="D334" s="8"/>
      <c r="E334" s="8"/>
    </row>
    <row r="335" spans="2:5" x14ac:dyDescent="0.2">
      <c r="B335" s="8"/>
      <c r="C335" s="8"/>
      <c r="D335" s="8"/>
      <c r="E335" s="8"/>
    </row>
    <row r="336" spans="2:5" x14ac:dyDescent="0.2">
      <c r="B336" s="8"/>
      <c r="C336" s="8"/>
      <c r="D336" s="8"/>
      <c r="E336" s="8"/>
    </row>
    <row r="337" spans="2:5" x14ac:dyDescent="0.2">
      <c r="B337" s="8"/>
      <c r="C337" s="8"/>
      <c r="D337" s="8"/>
      <c r="E337" s="8"/>
    </row>
    <row r="338" spans="2:5" x14ac:dyDescent="0.2">
      <c r="B338" s="8"/>
      <c r="C338" s="8"/>
      <c r="D338" s="8"/>
      <c r="E338" s="8"/>
    </row>
    <row r="339" spans="2:5" x14ac:dyDescent="0.2">
      <c r="B339" s="8"/>
      <c r="C339" s="8"/>
      <c r="D339" s="8"/>
      <c r="E339" s="8"/>
    </row>
    <row r="340" spans="2:5" x14ac:dyDescent="0.2">
      <c r="B340" s="8"/>
      <c r="C340" s="8"/>
      <c r="D340" s="8"/>
      <c r="E340" s="8"/>
    </row>
    <row r="341" spans="2:5" x14ac:dyDescent="0.2">
      <c r="B341" s="8"/>
      <c r="C341" s="8"/>
      <c r="D341" s="8"/>
      <c r="E341" s="8"/>
    </row>
    <row r="342" spans="2:5" x14ac:dyDescent="0.2">
      <c r="B342" s="8"/>
      <c r="C342" s="8"/>
      <c r="D342" s="8"/>
      <c r="E342" s="8"/>
    </row>
    <row r="343" spans="2:5" x14ac:dyDescent="0.2">
      <c r="B343" s="8"/>
      <c r="C343" s="8"/>
      <c r="D343" s="8"/>
      <c r="E343" s="8"/>
    </row>
    <row r="344" spans="2:5" x14ac:dyDescent="0.2">
      <c r="B344" s="8"/>
      <c r="C344" s="8"/>
      <c r="D344" s="8"/>
      <c r="E344" s="8"/>
    </row>
    <row r="345" spans="2:5" x14ac:dyDescent="0.2">
      <c r="B345" s="8"/>
      <c r="C345" s="8"/>
      <c r="D345" s="8"/>
      <c r="E345" s="8"/>
    </row>
    <row r="346" spans="2:5" x14ac:dyDescent="0.2">
      <c r="B346" s="8"/>
      <c r="C346" s="8"/>
      <c r="D346" s="8"/>
      <c r="E346" s="8"/>
    </row>
    <row r="347" spans="2:5" x14ac:dyDescent="0.2">
      <c r="B347" s="8"/>
      <c r="C347" s="8"/>
      <c r="D347" s="8"/>
      <c r="E347" s="8"/>
    </row>
    <row r="348" spans="2:5" x14ac:dyDescent="0.2">
      <c r="B348" s="8"/>
      <c r="C348" s="8"/>
      <c r="D348" s="8"/>
      <c r="E348" s="8"/>
    </row>
    <row r="349" spans="2:5" x14ac:dyDescent="0.2">
      <c r="B349" s="8"/>
      <c r="C349" s="8"/>
      <c r="D349" s="8"/>
      <c r="E349" s="8"/>
    </row>
    <row r="350" spans="2:5" x14ac:dyDescent="0.2">
      <c r="B350" s="8"/>
      <c r="C350" s="8"/>
      <c r="D350" s="8"/>
      <c r="E350" s="8"/>
    </row>
    <row r="351" spans="2:5" x14ac:dyDescent="0.2">
      <c r="B351" s="8"/>
      <c r="C351" s="8"/>
      <c r="D351" s="8"/>
      <c r="E351" s="8"/>
    </row>
    <row r="352" spans="2:5" x14ac:dyDescent="0.2">
      <c r="B352" s="8"/>
      <c r="C352" s="8"/>
      <c r="D352" s="8"/>
      <c r="E352" s="8"/>
    </row>
    <row r="353" spans="2:5" x14ac:dyDescent="0.2">
      <c r="B353" s="8"/>
      <c r="C353" s="8"/>
      <c r="D353" s="8"/>
      <c r="E353" s="8"/>
    </row>
    <row r="354" spans="2:5" x14ac:dyDescent="0.2">
      <c r="B354" s="8"/>
      <c r="C354" s="8"/>
      <c r="D354" s="8"/>
      <c r="E354" s="8"/>
    </row>
    <row r="355" spans="2:5" x14ac:dyDescent="0.2">
      <c r="B355" s="8"/>
      <c r="C355" s="8"/>
      <c r="D355" s="8"/>
      <c r="E355" s="8"/>
    </row>
    <row r="356" spans="2:5" x14ac:dyDescent="0.2">
      <c r="B356" s="8"/>
      <c r="C356" s="8"/>
      <c r="D356" s="8"/>
      <c r="E356" s="8"/>
    </row>
    <row r="357" spans="2:5" x14ac:dyDescent="0.2">
      <c r="B357" s="8"/>
      <c r="C357" s="8"/>
      <c r="D357" s="8"/>
      <c r="E357" s="8"/>
    </row>
    <row r="358" spans="2:5" x14ac:dyDescent="0.2">
      <c r="B358" s="8"/>
      <c r="C358" s="8"/>
      <c r="D358" s="8"/>
      <c r="E358" s="8"/>
    </row>
    <row r="359" spans="2:5" x14ac:dyDescent="0.2">
      <c r="B359" s="8"/>
      <c r="C359" s="8"/>
      <c r="D359" s="8"/>
      <c r="E359" s="8"/>
    </row>
    <row r="360" spans="2:5" x14ac:dyDescent="0.2">
      <c r="B360" s="8"/>
      <c r="C360" s="8"/>
      <c r="D360" s="8"/>
      <c r="E360" s="8"/>
    </row>
    <row r="361" spans="2:5" x14ac:dyDescent="0.2">
      <c r="B361" s="8"/>
      <c r="C361" s="8"/>
      <c r="D361" s="8"/>
      <c r="E361" s="8"/>
    </row>
    <row r="362" spans="2:5" x14ac:dyDescent="0.2">
      <c r="B362" s="8"/>
      <c r="C362" s="8"/>
      <c r="D362" s="8"/>
      <c r="E362" s="8"/>
    </row>
    <row r="363" spans="2:5" x14ac:dyDescent="0.2">
      <c r="B363" s="8"/>
      <c r="C363" s="8"/>
      <c r="D363" s="8"/>
      <c r="E363" s="8"/>
    </row>
    <row r="364" spans="2:5" x14ac:dyDescent="0.2">
      <c r="B364" s="8"/>
      <c r="C364" s="8"/>
      <c r="D364" s="8"/>
      <c r="E364" s="8"/>
    </row>
    <row r="365" spans="2:5" x14ac:dyDescent="0.2">
      <c r="B365" s="8"/>
      <c r="C365" s="8"/>
      <c r="D365" s="8"/>
      <c r="E365" s="8"/>
    </row>
    <row r="366" spans="2:5" x14ac:dyDescent="0.2">
      <c r="B366" s="8"/>
      <c r="C366" s="8"/>
      <c r="D366" s="8"/>
      <c r="E366" s="8"/>
    </row>
    <row r="367" spans="2:5" x14ac:dyDescent="0.2">
      <c r="B367" s="8"/>
      <c r="C367" s="8"/>
      <c r="D367" s="8"/>
      <c r="E367" s="8"/>
    </row>
    <row r="368" spans="2:5" x14ac:dyDescent="0.2">
      <c r="B368" s="8"/>
      <c r="C368" s="8"/>
      <c r="D368" s="8"/>
      <c r="E368" s="8"/>
    </row>
    <row r="369" spans="2:5" x14ac:dyDescent="0.2">
      <c r="B369" s="8"/>
      <c r="C369" s="8"/>
      <c r="D369" s="8"/>
      <c r="E369" s="8"/>
    </row>
    <row r="370" spans="2:5" x14ac:dyDescent="0.2">
      <c r="B370" s="8"/>
      <c r="C370" s="8"/>
      <c r="D370" s="8"/>
      <c r="E370" s="8"/>
    </row>
    <row r="371" spans="2:5" x14ac:dyDescent="0.2">
      <c r="B371" s="8"/>
      <c r="C371" s="8"/>
      <c r="D371" s="8"/>
      <c r="E371" s="8"/>
    </row>
    <row r="372" spans="2:5" x14ac:dyDescent="0.2">
      <c r="B372" s="8"/>
      <c r="C372" s="8"/>
      <c r="D372" s="8"/>
      <c r="E372" s="8"/>
    </row>
    <row r="373" spans="2:5" x14ac:dyDescent="0.2">
      <c r="B373" s="8"/>
      <c r="C373" s="8"/>
      <c r="D373" s="8"/>
      <c r="E373" s="8"/>
    </row>
    <row r="374" spans="2:5" x14ac:dyDescent="0.2">
      <c r="B374" s="8"/>
      <c r="C374" s="8"/>
      <c r="D374" s="8"/>
      <c r="E374" s="8"/>
    </row>
    <row r="375" spans="2:5" x14ac:dyDescent="0.2">
      <c r="B375" s="8"/>
      <c r="C375" s="8"/>
      <c r="D375" s="8"/>
      <c r="E375" s="8"/>
    </row>
    <row r="376" spans="2:5" x14ac:dyDescent="0.2">
      <c r="B376" s="8"/>
      <c r="C376" s="8"/>
      <c r="D376" s="8"/>
      <c r="E376" s="8"/>
    </row>
    <row r="377" spans="2:5" x14ac:dyDescent="0.2">
      <c r="B377" s="8"/>
      <c r="C377" s="8"/>
      <c r="D377" s="8"/>
      <c r="E377" s="8"/>
    </row>
    <row r="378" spans="2:5" x14ac:dyDescent="0.2">
      <c r="B378" s="8"/>
      <c r="C378" s="8"/>
      <c r="D378" s="8"/>
      <c r="E378" s="8"/>
    </row>
    <row r="379" spans="2:5" x14ac:dyDescent="0.2">
      <c r="B379" s="8"/>
      <c r="C379" s="8"/>
      <c r="D379" s="8"/>
      <c r="E379" s="8"/>
    </row>
    <row r="380" spans="2:5" x14ac:dyDescent="0.2">
      <c r="B380" s="8"/>
      <c r="C380" s="8"/>
      <c r="D380" s="8"/>
      <c r="E380" s="8"/>
    </row>
    <row r="381" spans="2:5" x14ac:dyDescent="0.2">
      <c r="B381" s="8"/>
      <c r="C381" s="8"/>
      <c r="D381" s="8"/>
      <c r="E381" s="8"/>
    </row>
    <row r="382" spans="2:5" x14ac:dyDescent="0.2">
      <c r="B382" s="8"/>
      <c r="C382" s="8"/>
      <c r="D382" s="8"/>
      <c r="E382" s="8"/>
    </row>
    <row r="383" spans="2:5" x14ac:dyDescent="0.2">
      <c r="B383" s="8"/>
      <c r="C383" s="8"/>
      <c r="D383" s="8"/>
      <c r="E383" s="8"/>
    </row>
    <row r="384" spans="2:5" x14ac:dyDescent="0.2">
      <c r="B384" s="8"/>
      <c r="C384" s="8"/>
      <c r="D384" s="8"/>
      <c r="E384" s="8"/>
    </row>
    <row r="385" spans="2:5" x14ac:dyDescent="0.2">
      <c r="B385" s="8"/>
      <c r="C385" s="8"/>
      <c r="D385" s="8"/>
      <c r="E385" s="8"/>
    </row>
    <row r="386" spans="2:5" x14ac:dyDescent="0.2">
      <c r="B386" s="8"/>
      <c r="C386" s="8"/>
      <c r="D386" s="8"/>
      <c r="E386" s="8"/>
    </row>
    <row r="387" spans="2:5" x14ac:dyDescent="0.2">
      <c r="B387" s="8"/>
      <c r="C387" s="8"/>
      <c r="D387" s="8"/>
      <c r="E387" s="8"/>
    </row>
    <row r="388" spans="2:5" x14ac:dyDescent="0.2">
      <c r="B388" s="8"/>
      <c r="C388" s="8"/>
      <c r="D388" s="8"/>
      <c r="E388" s="8"/>
    </row>
    <row r="389" spans="2:5" x14ac:dyDescent="0.2">
      <c r="B389" s="8"/>
      <c r="C389" s="8"/>
      <c r="D389" s="8"/>
      <c r="E389" s="8"/>
    </row>
    <row r="390" spans="2:5" x14ac:dyDescent="0.2">
      <c r="B390" s="8"/>
      <c r="C390" s="8"/>
      <c r="D390" s="8"/>
      <c r="E390" s="8"/>
    </row>
    <row r="391" spans="2:5" x14ac:dyDescent="0.2">
      <c r="B391" s="8"/>
      <c r="C391" s="8"/>
      <c r="D391" s="8"/>
      <c r="E391" s="8"/>
    </row>
    <row r="392" spans="2:5" x14ac:dyDescent="0.2">
      <c r="B392" s="8"/>
      <c r="C392" s="8"/>
      <c r="D392" s="8"/>
      <c r="E392" s="8"/>
    </row>
    <row r="393" spans="2:5" x14ac:dyDescent="0.2">
      <c r="B393" s="8"/>
      <c r="C393" s="8"/>
      <c r="D393" s="8"/>
      <c r="E393" s="8"/>
    </row>
    <row r="394" spans="2:5" x14ac:dyDescent="0.2">
      <c r="B394" s="8"/>
      <c r="C394" s="8"/>
      <c r="D394" s="8"/>
      <c r="E394" s="8"/>
    </row>
    <row r="395" spans="2:5" x14ac:dyDescent="0.2">
      <c r="B395" s="8"/>
      <c r="C395" s="8"/>
      <c r="D395" s="8"/>
      <c r="E395" s="8"/>
    </row>
    <row r="396" spans="2:5" x14ac:dyDescent="0.2">
      <c r="B396" s="8"/>
      <c r="C396" s="8"/>
      <c r="D396" s="8"/>
      <c r="E396" s="8"/>
    </row>
    <row r="397" spans="2:5" x14ac:dyDescent="0.2">
      <c r="B397" s="8"/>
      <c r="C397" s="8"/>
      <c r="D397" s="8"/>
      <c r="E397" s="8"/>
    </row>
    <row r="398" spans="2:5" x14ac:dyDescent="0.2">
      <c r="B398" s="8"/>
      <c r="C398" s="8"/>
      <c r="D398" s="8"/>
      <c r="E398" s="8"/>
    </row>
    <row r="399" spans="2:5" x14ac:dyDescent="0.2">
      <c r="B399" s="8"/>
      <c r="C399" s="8"/>
      <c r="D399" s="8"/>
      <c r="E399" s="8"/>
    </row>
    <row r="400" spans="2:5" x14ac:dyDescent="0.2">
      <c r="B400" s="8"/>
      <c r="C400" s="8"/>
      <c r="D400" s="8"/>
      <c r="E400" s="8"/>
    </row>
    <row r="401" spans="2:5" x14ac:dyDescent="0.2">
      <c r="B401" s="8"/>
      <c r="C401" s="8"/>
      <c r="D401" s="8"/>
      <c r="E401" s="8"/>
    </row>
    <row r="402" spans="2:5" x14ac:dyDescent="0.2">
      <c r="B402" s="8"/>
      <c r="C402" s="8"/>
      <c r="D402" s="8"/>
      <c r="E402" s="8"/>
    </row>
    <row r="403" spans="2:5" x14ac:dyDescent="0.2">
      <c r="B403" s="8"/>
      <c r="C403" s="8"/>
      <c r="D403" s="8"/>
      <c r="E403" s="8"/>
    </row>
    <row r="404" spans="2:5" x14ac:dyDescent="0.2">
      <c r="B404" s="8"/>
      <c r="C404" s="8"/>
      <c r="D404" s="8"/>
      <c r="E404" s="8"/>
    </row>
    <row r="405" spans="2:5" x14ac:dyDescent="0.2">
      <c r="B405" s="8"/>
      <c r="C405" s="8"/>
      <c r="D405" s="8"/>
      <c r="E405" s="8"/>
    </row>
    <row r="406" spans="2:5" x14ac:dyDescent="0.2">
      <c r="B406" s="8"/>
      <c r="C406" s="8"/>
      <c r="D406" s="8"/>
      <c r="E406" s="8"/>
    </row>
    <row r="407" spans="2:5" x14ac:dyDescent="0.2">
      <c r="B407" s="8"/>
      <c r="C407" s="8"/>
      <c r="D407" s="8"/>
      <c r="E407" s="8"/>
    </row>
    <row r="408" spans="2:5" x14ac:dyDescent="0.2">
      <c r="B408" s="8"/>
      <c r="C408" s="8"/>
      <c r="D408" s="8"/>
      <c r="E408" s="8"/>
    </row>
    <row r="409" spans="2:5" x14ac:dyDescent="0.2">
      <c r="B409" s="8"/>
      <c r="C409" s="8"/>
      <c r="D409" s="8"/>
      <c r="E409" s="8"/>
    </row>
    <row r="410" spans="2:5" x14ac:dyDescent="0.2">
      <c r="B410" s="8"/>
      <c r="C410" s="8"/>
      <c r="D410" s="8"/>
      <c r="E410" s="8"/>
    </row>
    <row r="411" spans="2:5" x14ac:dyDescent="0.2">
      <c r="B411" s="8"/>
      <c r="C411" s="8"/>
      <c r="D411" s="8"/>
      <c r="E411" s="8"/>
    </row>
    <row r="412" spans="2:5" x14ac:dyDescent="0.2">
      <c r="B412" s="8"/>
      <c r="C412" s="8"/>
      <c r="D412" s="8"/>
      <c r="E412" s="8"/>
    </row>
    <row r="413" spans="2:5" x14ac:dyDescent="0.2">
      <c r="B413" s="8"/>
      <c r="C413" s="8"/>
      <c r="D413" s="8"/>
      <c r="E413" s="8"/>
    </row>
    <row r="414" spans="2:5" x14ac:dyDescent="0.2">
      <c r="B414" s="8"/>
      <c r="C414" s="8"/>
      <c r="D414" s="8"/>
      <c r="E414" s="8"/>
    </row>
    <row r="415" spans="2:5" x14ac:dyDescent="0.2">
      <c r="B415" s="8"/>
      <c r="C415" s="8"/>
      <c r="D415" s="8"/>
      <c r="E415" s="8"/>
    </row>
    <row r="416" spans="2:5" x14ac:dyDescent="0.2">
      <c r="B416" s="8"/>
      <c r="C416" s="8"/>
      <c r="D416" s="8"/>
      <c r="E416" s="8"/>
    </row>
    <row r="417" spans="1:17" x14ac:dyDescent="0.2">
      <c r="B417" s="8"/>
      <c r="C417" s="8"/>
      <c r="D417" s="8"/>
      <c r="E417" s="8"/>
    </row>
    <row r="418" spans="1:17" x14ac:dyDescent="0.2">
      <c r="B418" s="8"/>
      <c r="C418" s="8"/>
      <c r="D418" s="8"/>
      <c r="E418" s="8"/>
    </row>
    <row r="419" spans="1:17" x14ac:dyDescent="0.2">
      <c r="B419" s="8"/>
      <c r="C419" s="8"/>
      <c r="D419" s="8"/>
      <c r="E419" s="8"/>
    </row>
    <row r="420" spans="1:17" x14ac:dyDescent="0.2">
      <c r="B420" s="8"/>
      <c r="C420" s="8"/>
      <c r="D420" s="8"/>
      <c r="E420" s="8"/>
    </row>
    <row r="421" spans="1:17" ht="13.5" thickBot="1" x14ac:dyDescent="0.25">
      <c r="B421" s="8"/>
      <c r="C421" s="8"/>
      <c r="D421" s="8"/>
      <c r="E421" s="8"/>
    </row>
    <row r="422" spans="1:17" ht="45" x14ac:dyDescent="0.2">
      <c r="A422" s="223"/>
      <c r="B422" s="224" t="s">
        <v>30</v>
      </c>
      <c r="C422" s="224"/>
      <c r="D422" s="224"/>
      <c r="E422" s="225"/>
      <c r="F422" s="225"/>
      <c r="G422" s="225"/>
      <c r="H422" s="225"/>
      <c r="I422" s="225"/>
      <c r="J422" s="225"/>
      <c r="K422" s="225"/>
      <c r="L422" s="225"/>
      <c r="M422" s="225"/>
      <c r="N422" s="225"/>
      <c r="O422" s="225"/>
      <c r="P422" s="225"/>
      <c r="Q422" s="226"/>
    </row>
    <row r="423" spans="1:17" x14ac:dyDescent="0.2">
      <c r="A423" s="227"/>
      <c r="B423" s="8"/>
      <c r="C423" s="8"/>
      <c r="D423" s="8"/>
      <c r="E423" s="8"/>
    </row>
    <row r="424" spans="1:17" x14ac:dyDescent="0.2">
      <c r="A424" s="227"/>
      <c r="B424" s="8"/>
      <c r="C424" s="8"/>
      <c r="D424" s="8"/>
      <c r="E424" s="8"/>
    </row>
    <row r="425" spans="1:17" x14ac:dyDescent="0.2">
      <c r="A425" s="227"/>
      <c r="B425" s="8"/>
      <c r="C425" s="8"/>
      <c r="D425" s="8"/>
      <c r="E425" s="8"/>
    </row>
    <row r="426" spans="1:17" x14ac:dyDescent="0.2">
      <c r="A426" s="227"/>
      <c r="B426" s="8"/>
      <c r="C426" s="8"/>
      <c r="D426" s="8"/>
      <c r="E426" s="8"/>
    </row>
    <row r="427" spans="1:17" x14ac:dyDescent="0.2">
      <c r="A427" s="227"/>
      <c r="B427" s="8"/>
      <c r="C427" s="8"/>
      <c r="D427" s="8"/>
      <c r="E427" s="8"/>
    </row>
    <row r="428" spans="1:17" x14ac:dyDescent="0.2">
      <c r="A428" s="227"/>
      <c r="B428" s="8"/>
      <c r="C428" s="8"/>
      <c r="D428" s="8"/>
      <c r="E428" s="8"/>
    </row>
    <row r="429" spans="1:17" x14ac:dyDescent="0.2">
      <c r="A429" s="227"/>
      <c r="B429" s="8"/>
      <c r="C429" s="8"/>
      <c r="D429" s="8"/>
      <c r="E429" s="8"/>
    </row>
    <row r="430" spans="1:17" x14ac:dyDescent="0.2">
      <c r="A430" s="227"/>
      <c r="B430" s="8"/>
      <c r="C430" s="8"/>
      <c r="D430" s="8"/>
      <c r="E430" s="8"/>
    </row>
    <row r="431" spans="1:17" x14ac:dyDescent="0.2">
      <c r="A431" s="227"/>
      <c r="B431" s="8"/>
      <c r="C431" s="8"/>
      <c r="D431" s="8"/>
      <c r="E431" s="8"/>
    </row>
    <row r="432" spans="1:17" x14ac:dyDescent="0.2">
      <c r="A432" s="227"/>
      <c r="B432" s="8"/>
      <c r="C432" s="8"/>
      <c r="D432" s="8"/>
      <c r="E432" s="8"/>
    </row>
    <row r="433" spans="1:17" ht="13.5" thickBot="1" x14ac:dyDescent="0.25">
      <c r="A433" s="228"/>
      <c r="B433" s="229"/>
      <c r="C433" s="229"/>
      <c r="D433" s="229"/>
      <c r="E433" s="229"/>
      <c r="F433" s="229"/>
      <c r="G433" s="229"/>
      <c r="H433" s="229"/>
      <c r="I433" s="229"/>
      <c r="J433" s="229"/>
      <c r="K433" s="229"/>
      <c r="L433" s="229"/>
      <c r="M433" s="229"/>
      <c r="N433" s="229"/>
      <c r="O433" s="229"/>
      <c r="P433" s="229"/>
      <c r="Q433" s="230"/>
    </row>
    <row r="434" spans="1:17" x14ac:dyDescent="0.2">
      <c r="B434" s="8"/>
      <c r="C434" s="8"/>
      <c r="D434" s="8"/>
      <c r="E434" s="8"/>
    </row>
    <row r="435" spans="1:17" x14ac:dyDescent="0.2">
      <c r="B435" s="8"/>
      <c r="C435" s="8"/>
      <c r="D435" s="8"/>
      <c r="E435" s="8"/>
    </row>
    <row r="436" spans="1:17" x14ac:dyDescent="0.2">
      <c r="B436" s="8"/>
      <c r="C436" s="8"/>
      <c r="D436" s="8"/>
      <c r="E436" s="8"/>
    </row>
    <row r="437" spans="1:17" x14ac:dyDescent="0.2">
      <c r="B437" s="8"/>
      <c r="C437" s="8"/>
      <c r="D437" s="8"/>
      <c r="E437" s="8"/>
    </row>
    <row r="438" spans="1:17" x14ac:dyDescent="0.2">
      <c r="B438" s="8"/>
      <c r="C438" s="8"/>
      <c r="D438" s="8"/>
      <c r="E438" s="8"/>
    </row>
    <row r="439" spans="1:17" x14ac:dyDescent="0.2">
      <c r="B439" s="8"/>
      <c r="C439" s="8"/>
      <c r="D439" s="8"/>
      <c r="E439" s="8"/>
    </row>
    <row r="440" spans="1:17" x14ac:dyDescent="0.2">
      <c r="B440" s="8"/>
      <c r="C440" s="8"/>
      <c r="D440" s="8"/>
      <c r="E440" s="8"/>
    </row>
    <row r="441" spans="1:17" x14ac:dyDescent="0.2">
      <c r="B441" s="8"/>
      <c r="C441" s="8"/>
      <c r="D441" s="8"/>
      <c r="E441" s="8"/>
    </row>
    <row r="442" spans="1:17" x14ac:dyDescent="0.2">
      <c r="B442" s="8"/>
      <c r="C442" s="8"/>
      <c r="D442" s="8"/>
      <c r="E442" s="8"/>
    </row>
    <row r="443" spans="1:17" x14ac:dyDescent="0.2">
      <c r="B443" s="8"/>
      <c r="C443" s="8"/>
      <c r="D443" s="8"/>
      <c r="E443" s="8"/>
    </row>
    <row r="444" spans="1:17" x14ac:dyDescent="0.2">
      <c r="B444" s="8"/>
      <c r="C444" s="8"/>
      <c r="D444" s="8"/>
      <c r="E444" s="8"/>
    </row>
    <row r="445" spans="1:17" x14ac:dyDescent="0.2">
      <c r="B445" s="8"/>
      <c r="C445" s="8"/>
      <c r="D445" s="8"/>
      <c r="E445" s="8"/>
    </row>
    <row r="446" spans="1:17" x14ac:dyDescent="0.2">
      <c r="B446" s="8"/>
      <c r="C446" s="8"/>
      <c r="D446" s="8"/>
      <c r="E446" s="8"/>
    </row>
    <row r="447" spans="1:17" x14ac:dyDescent="0.2">
      <c r="B447" s="8"/>
      <c r="C447" s="8"/>
      <c r="D447" s="8"/>
      <c r="E447" s="8"/>
    </row>
    <row r="448" spans="1:17" x14ac:dyDescent="0.2">
      <c r="B448" s="8"/>
      <c r="C448" s="8"/>
      <c r="D448" s="8"/>
      <c r="E448" s="8"/>
    </row>
    <row r="449" spans="2:5" x14ac:dyDescent="0.2">
      <c r="B449" s="8"/>
      <c r="C449" s="8"/>
      <c r="D449" s="8"/>
      <c r="E449" s="8"/>
    </row>
    <row r="450" spans="2:5" x14ac:dyDescent="0.2">
      <c r="B450" s="8"/>
      <c r="C450" s="8"/>
      <c r="D450" s="8"/>
      <c r="E450" s="8"/>
    </row>
    <row r="451" spans="2:5" x14ac:dyDescent="0.2">
      <c r="B451" s="8"/>
      <c r="C451" s="8"/>
      <c r="D451" s="8"/>
      <c r="E451" s="8"/>
    </row>
    <row r="452" spans="2:5" x14ac:dyDescent="0.2">
      <c r="B452" s="8"/>
      <c r="C452" s="8"/>
      <c r="D452" s="8"/>
      <c r="E452" s="8"/>
    </row>
    <row r="453" spans="2:5" x14ac:dyDescent="0.2">
      <c r="B453" s="8"/>
      <c r="C453" s="8"/>
      <c r="D453" s="8"/>
      <c r="E453" s="8"/>
    </row>
    <row r="454" spans="2:5" x14ac:dyDescent="0.2">
      <c r="B454" s="8"/>
      <c r="C454" s="8"/>
      <c r="D454" s="8"/>
      <c r="E454" s="8"/>
    </row>
    <row r="455" spans="2:5" x14ac:dyDescent="0.2">
      <c r="B455" s="8"/>
      <c r="C455" s="8"/>
      <c r="D455" s="8"/>
      <c r="E455" s="8"/>
    </row>
    <row r="456" spans="2:5" x14ac:dyDescent="0.2">
      <c r="B456" s="8"/>
      <c r="C456" s="8"/>
      <c r="D456" s="8"/>
      <c r="E456" s="8"/>
    </row>
    <row r="457" spans="2:5" x14ac:dyDescent="0.2">
      <c r="B457" s="8"/>
      <c r="C457" s="8"/>
      <c r="D457" s="8"/>
      <c r="E457" s="8"/>
    </row>
    <row r="458" spans="2:5" x14ac:dyDescent="0.2">
      <c r="B458" s="8"/>
      <c r="C458" s="8"/>
      <c r="D458" s="8"/>
      <c r="E458" s="8"/>
    </row>
    <row r="459" spans="2:5" x14ac:dyDescent="0.2">
      <c r="B459" s="8"/>
      <c r="C459" s="8"/>
      <c r="D459" s="8"/>
      <c r="E459" s="8"/>
    </row>
    <row r="460" spans="2:5" x14ac:dyDescent="0.2">
      <c r="B460" s="8"/>
      <c r="C460" s="8"/>
      <c r="D460" s="8"/>
      <c r="E460" s="8"/>
    </row>
    <row r="461" spans="2:5" x14ac:dyDescent="0.2">
      <c r="B461" s="8"/>
      <c r="C461" s="8"/>
      <c r="D461" s="8"/>
      <c r="E461" s="8"/>
    </row>
    <row r="462" spans="2:5" x14ac:dyDescent="0.2">
      <c r="B462" s="8"/>
      <c r="C462" s="8"/>
      <c r="D462" s="8"/>
      <c r="E462" s="8"/>
    </row>
    <row r="463" spans="2:5" x14ac:dyDescent="0.2">
      <c r="B463" s="8"/>
      <c r="C463" s="8"/>
      <c r="D463" s="8"/>
      <c r="E463" s="8"/>
    </row>
    <row r="464" spans="2:5" x14ac:dyDescent="0.2">
      <c r="B464" s="8"/>
      <c r="C464" s="8"/>
      <c r="D464" s="8"/>
      <c r="E464" s="8"/>
    </row>
    <row r="465" spans="2:5" x14ac:dyDescent="0.2">
      <c r="B465" s="8"/>
      <c r="C465" s="8"/>
      <c r="D465" s="8"/>
      <c r="E465" s="8"/>
    </row>
    <row r="466" spans="2:5" x14ac:dyDescent="0.2">
      <c r="B466" s="8"/>
      <c r="C466" s="8"/>
      <c r="D466" s="8"/>
      <c r="E466" s="8"/>
    </row>
    <row r="467" spans="2:5" x14ac:dyDescent="0.2">
      <c r="B467" s="8"/>
      <c r="C467" s="8"/>
      <c r="D467" s="8"/>
      <c r="E467" s="8"/>
    </row>
    <row r="468" spans="2:5" x14ac:dyDescent="0.2">
      <c r="B468" s="8"/>
      <c r="C468" s="8"/>
      <c r="D468" s="8"/>
      <c r="E468" s="8"/>
    </row>
    <row r="469" spans="2:5" x14ac:dyDescent="0.2">
      <c r="B469" s="8"/>
      <c r="C469" s="8"/>
      <c r="D469" s="8"/>
      <c r="E469" s="8"/>
    </row>
    <row r="470" spans="2:5" x14ac:dyDescent="0.2">
      <c r="B470" s="8"/>
      <c r="C470" s="8"/>
      <c r="D470" s="8"/>
      <c r="E470" s="8"/>
    </row>
    <row r="471" spans="2:5" x14ac:dyDescent="0.2">
      <c r="B471" s="8"/>
      <c r="C471" s="8"/>
      <c r="D471" s="8"/>
      <c r="E471" s="8"/>
    </row>
    <row r="472" spans="2:5" x14ac:dyDescent="0.2">
      <c r="B472" s="8"/>
      <c r="C472" s="8"/>
      <c r="D472" s="8"/>
      <c r="E472" s="8"/>
    </row>
    <row r="473" spans="2:5" x14ac:dyDescent="0.2">
      <c r="B473" s="8"/>
      <c r="C473" s="8"/>
      <c r="D473" s="8"/>
      <c r="E473" s="8"/>
    </row>
    <row r="474" spans="2:5" x14ac:dyDescent="0.2">
      <c r="B474" s="8"/>
      <c r="C474" s="8"/>
      <c r="D474" s="8"/>
      <c r="E474" s="8"/>
    </row>
    <row r="475" spans="2:5" x14ac:dyDescent="0.2">
      <c r="B475" s="8"/>
      <c r="C475" s="8"/>
      <c r="D475" s="8"/>
      <c r="E475" s="8"/>
    </row>
    <row r="476" spans="2:5" x14ac:dyDescent="0.2">
      <c r="B476" s="8"/>
      <c r="C476" s="8"/>
      <c r="D476" s="8"/>
      <c r="E476" s="8"/>
    </row>
    <row r="477" spans="2:5" x14ac:dyDescent="0.2">
      <c r="B477" s="8"/>
      <c r="C477" s="8"/>
      <c r="D477" s="8"/>
      <c r="E477" s="8"/>
    </row>
    <row r="478" spans="2:5" x14ac:dyDescent="0.2">
      <c r="B478" s="8"/>
      <c r="C478" s="8"/>
      <c r="D478" s="8"/>
      <c r="E478" s="8"/>
    </row>
    <row r="479" spans="2:5" x14ac:dyDescent="0.2">
      <c r="B479" s="8"/>
      <c r="C479" s="8"/>
      <c r="D479" s="8"/>
      <c r="E479" s="8"/>
    </row>
    <row r="480" spans="2:5" x14ac:dyDescent="0.2">
      <c r="B480" s="8"/>
      <c r="C480" s="8"/>
      <c r="D480" s="8"/>
      <c r="E480" s="8"/>
    </row>
    <row r="481" spans="2:5" x14ac:dyDescent="0.2">
      <c r="B481" s="8"/>
      <c r="C481" s="8"/>
      <c r="D481" s="8"/>
      <c r="E481" s="8"/>
    </row>
    <row r="482" spans="2:5" x14ac:dyDescent="0.2">
      <c r="B482" s="8"/>
      <c r="C482" s="8"/>
      <c r="D482" s="8"/>
      <c r="E482" s="8"/>
    </row>
    <row r="483" spans="2:5" x14ac:dyDescent="0.2">
      <c r="B483" s="8"/>
      <c r="C483" s="8"/>
      <c r="D483" s="8"/>
      <c r="E483" s="8"/>
    </row>
    <row r="484" spans="2:5" x14ac:dyDescent="0.2">
      <c r="B484" s="8"/>
      <c r="C484" s="8"/>
      <c r="D484" s="8"/>
      <c r="E484" s="8"/>
    </row>
    <row r="485" spans="2:5" x14ac:dyDescent="0.2">
      <c r="B485" s="8"/>
      <c r="C485" s="8"/>
      <c r="D485" s="8"/>
      <c r="E485" s="8"/>
    </row>
    <row r="486" spans="2:5" x14ac:dyDescent="0.2">
      <c r="B486" s="8"/>
      <c r="C486" s="8"/>
      <c r="D486" s="8"/>
      <c r="E486" s="8"/>
    </row>
    <row r="487" spans="2:5" x14ac:dyDescent="0.2">
      <c r="B487" s="8"/>
      <c r="C487" s="8"/>
      <c r="D487" s="8"/>
      <c r="E487" s="8"/>
    </row>
    <row r="488" spans="2:5" x14ac:dyDescent="0.2">
      <c r="B488" s="8"/>
      <c r="C488" s="8"/>
      <c r="D488" s="8"/>
      <c r="E488" s="8"/>
    </row>
    <row r="489" spans="2:5" x14ac:dyDescent="0.2">
      <c r="B489" s="8"/>
      <c r="C489" s="8"/>
      <c r="D489" s="8"/>
      <c r="E489" s="8"/>
    </row>
    <row r="490" spans="2:5" x14ac:dyDescent="0.2">
      <c r="B490" s="8"/>
      <c r="C490" s="8"/>
      <c r="D490" s="8"/>
      <c r="E490" s="8"/>
    </row>
    <row r="491" spans="2:5" x14ac:dyDescent="0.2">
      <c r="B491" s="8"/>
      <c r="C491" s="8"/>
      <c r="D491" s="8"/>
      <c r="E491" s="8"/>
    </row>
    <row r="492" spans="2:5" x14ac:dyDescent="0.2">
      <c r="B492" s="8"/>
      <c r="C492" s="8"/>
      <c r="D492" s="8"/>
      <c r="E492" s="8"/>
    </row>
    <row r="493" spans="2:5" x14ac:dyDescent="0.2">
      <c r="B493" s="8"/>
      <c r="C493" s="8"/>
      <c r="D493" s="8"/>
      <c r="E493" s="8"/>
    </row>
    <row r="494" spans="2:5" x14ac:dyDescent="0.2">
      <c r="B494" s="8"/>
      <c r="C494" s="8"/>
      <c r="D494" s="8"/>
      <c r="E494" s="8"/>
    </row>
    <row r="495" spans="2:5" x14ac:dyDescent="0.2">
      <c r="B495" s="8"/>
      <c r="C495" s="8"/>
      <c r="D495" s="8"/>
      <c r="E495" s="8"/>
    </row>
    <row r="496" spans="2:5" x14ac:dyDescent="0.2">
      <c r="B496" s="8"/>
      <c r="C496" s="8"/>
      <c r="D496" s="8"/>
      <c r="E496" s="8"/>
    </row>
    <row r="497" spans="2:5" x14ac:dyDescent="0.2">
      <c r="B497" s="8"/>
      <c r="C497" s="8"/>
      <c r="D497" s="8"/>
      <c r="E497" s="8"/>
    </row>
    <row r="498" spans="2:5" x14ac:dyDescent="0.2">
      <c r="B498" s="8"/>
      <c r="C498" s="8"/>
      <c r="D498" s="8"/>
      <c r="E498" s="8"/>
    </row>
    <row r="499" spans="2:5" x14ac:dyDescent="0.2">
      <c r="B499" s="8"/>
      <c r="C499" s="8"/>
      <c r="D499" s="8"/>
      <c r="E499" s="8"/>
    </row>
    <row r="500" spans="2:5" x14ac:dyDescent="0.2">
      <c r="B500" s="8"/>
      <c r="C500" s="8"/>
      <c r="D500" s="8"/>
      <c r="E500" s="8"/>
    </row>
    <row r="501" spans="2:5" x14ac:dyDescent="0.2">
      <c r="B501" s="8"/>
      <c r="C501" s="8"/>
      <c r="D501" s="8"/>
      <c r="E501" s="8"/>
    </row>
    <row r="502" spans="2:5" x14ac:dyDescent="0.2">
      <c r="B502" s="8"/>
      <c r="C502" s="8"/>
      <c r="D502" s="8"/>
      <c r="E502" s="8"/>
    </row>
    <row r="503" spans="2:5" x14ac:dyDescent="0.2">
      <c r="B503" s="8"/>
      <c r="C503" s="8"/>
      <c r="D503" s="8"/>
      <c r="E503" s="8"/>
    </row>
    <row r="504" spans="2:5" x14ac:dyDescent="0.2">
      <c r="B504" s="8"/>
      <c r="C504" s="8"/>
      <c r="D504" s="8"/>
      <c r="E504" s="8"/>
    </row>
    <row r="505" spans="2:5" x14ac:dyDescent="0.2">
      <c r="B505" s="8"/>
      <c r="C505" s="8"/>
      <c r="D505" s="8"/>
      <c r="E505" s="8"/>
    </row>
    <row r="506" spans="2:5" x14ac:dyDescent="0.2">
      <c r="B506" s="8"/>
      <c r="C506" s="8"/>
      <c r="D506" s="8"/>
      <c r="E506" s="8"/>
    </row>
    <row r="507" spans="2:5" x14ac:dyDescent="0.2">
      <c r="B507" s="8"/>
      <c r="C507" s="8"/>
      <c r="D507" s="8"/>
      <c r="E507" s="8"/>
    </row>
    <row r="508" spans="2:5" x14ac:dyDescent="0.2">
      <c r="B508" s="8"/>
      <c r="C508" s="8"/>
      <c r="D508" s="8"/>
      <c r="E508" s="8"/>
    </row>
    <row r="509" spans="2:5" x14ac:dyDescent="0.2">
      <c r="B509" s="8"/>
      <c r="C509" s="8"/>
      <c r="D509" s="8"/>
      <c r="E509" s="8"/>
    </row>
    <row r="510" spans="2:5" x14ac:dyDescent="0.2">
      <c r="B510" s="8"/>
      <c r="C510" s="8"/>
      <c r="D510" s="8"/>
      <c r="E510" s="8"/>
    </row>
    <row r="511" spans="2:5" x14ac:dyDescent="0.2">
      <c r="B511" s="8"/>
      <c r="C511" s="8"/>
      <c r="D511" s="8"/>
      <c r="E511" s="8"/>
    </row>
    <row r="512" spans="2:5" x14ac:dyDescent="0.2">
      <c r="B512" s="8"/>
      <c r="C512" s="8"/>
      <c r="D512" s="8"/>
      <c r="E512" s="8"/>
    </row>
    <row r="513" spans="2:5" x14ac:dyDescent="0.2">
      <c r="B513" s="8"/>
      <c r="C513" s="8"/>
      <c r="D513" s="8"/>
      <c r="E513" s="8"/>
    </row>
    <row r="514" spans="2:5" x14ac:dyDescent="0.2">
      <c r="B514" s="8"/>
      <c r="C514" s="8"/>
      <c r="D514" s="8"/>
      <c r="E514" s="8"/>
    </row>
    <row r="515" spans="2:5" x14ac:dyDescent="0.2">
      <c r="B515" s="8"/>
      <c r="C515" s="8"/>
      <c r="D515" s="8"/>
      <c r="E515" s="8"/>
    </row>
    <row r="516" spans="2:5" x14ac:dyDescent="0.2">
      <c r="B516" s="8"/>
      <c r="C516" s="8"/>
      <c r="D516" s="8"/>
      <c r="E516" s="8"/>
    </row>
    <row r="517" spans="2:5" x14ac:dyDescent="0.2">
      <c r="B517" s="8"/>
      <c r="C517" s="8"/>
      <c r="D517" s="8"/>
      <c r="E517" s="8"/>
    </row>
    <row r="518" spans="2:5" x14ac:dyDescent="0.2">
      <c r="B518" s="8"/>
      <c r="C518" s="8"/>
      <c r="D518" s="8"/>
      <c r="E518" s="8"/>
    </row>
    <row r="519" spans="2:5" x14ac:dyDescent="0.2">
      <c r="B519" s="8"/>
      <c r="C519" s="8"/>
      <c r="D519" s="8"/>
      <c r="E519" s="8"/>
    </row>
    <row r="520" spans="2:5" x14ac:dyDescent="0.2">
      <c r="B520" s="8"/>
      <c r="C520" s="8"/>
      <c r="D520" s="8"/>
      <c r="E520" s="8"/>
    </row>
    <row r="521" spans="2:5" x14ac:dyDescent="0.2">
      <c r="B521" s="8"/>
      <c r="C521" s="8"/>
      <c r="D521" s="8"/>
      <c r="E521" s="8"/>
    </row>
    <row r="522" spans="2:5" x14ac:dyDescent="0.2">
      <c r="B522" s="8"/>
      <c r="C522" s="8"/>
      <c r="D522" s="8"/>
      <c r="E522" s="8"/>
    </row>
    <row r="523" spans="2:5" x14ac:dyDescent="0.2">
      <c r="B523" s="8"/>
      <c r="C523" s="8"/>
      <c r="D523" s="8"/>
      <c r="E523" s="8"/>
    </row>
    <row r="524" spans="2:5" x14ac:dyDescent="0.2">
      <c r="B524" s="8"/>
      <c r="C524" s="8"/>
      <c r="D524" s="8"/>
      <c r="E524" s="8"/>
    </row>
    <row r="525" spans="2:5" x14ac:dyDescent="0.2">
      <c r="B525" s="8"/>
      <c r="C525" s="8"/>
      <c r="D525" s="8"/>
      <c r="E525" s="8"/>
    </row>
    <row r="526" spans="2:5" x14ac:dyDescent="0.2">
      <c r="B526" s="8"/>
      <c r="C526" s="8"/>
      <c r="D526" s="8"/>
      <c r="E526" s="8"/>
    </row>
    <row r="527" spans="2:5" x14ac:dyDescent="0.2">
      <c r="B527" s="8"/>
      <c r="C527" s="8"/>
      <c r="D527" s="8"/>
      <c r="E527" s="8"/>
    </row>
    <row r="528" spans="2:5" x14ac:dyDescent="0.2">
      <c r="B528" s="8"/>
      <c r="C528" s="8"/>
      <c r="D528" s="8"/>
      <c r="E528" s="8"/>
    </row>
    <row r="529" spans="2:5" x14ac:dyDescent="0.2">
      <c r="B529" s="8"/>
      <c r="C529" s="8"/>
      <c r="D529" s="8"/>
      <c r="E529" s="8"/>
    </row>
    <row r="530" spans="2:5" x14ac:dyDescent="0.2">
      <c r="B530" s="8"/>
      <c r="C530" s="8"/>
      <c r="D530" s="8"/>
      <c r="E530" s="8"/>
    </row>
    <row r="531" spans="2:5" x14ac:dyDescent="0.2">
      <c r="B531" s="8"/>
      <c r="C531" s="8"/>
      <c r="D531" s="8"/>
      <c r="E531" s="8"/>
    </row>
    <row r="532" spans="2:5" x14ac:dyDescent="0.2">
      <c r="B532" s="8"/>
      <c r="C532" s="8"/>
      <c r="D532" s="8"/>
      <c r="E532" s="8"/>
    </row>
    <row r="533" spans="2:5" x14ac:dyDescent="0.2">
      <c r="B533" s="8"/>
      <c r="C533" s="8"/>
      <c r="D533" s="8"/>
      <c r="E533" s="8"/>
    </row>
    <row r="534" spans="2:5" x14ac:dyDescent="0.2">
      <c r="B534" s="8"/>
      <c r="C534" s="8"/>
      <c r="D534" s="8"/>
      <c r="E534" s="8"/>
    </row>
    <row r="535" spans="2:5" x14ac:dyDescent="0.2">
      <c r="B535" s="8"/>
      <c r="C535" s="8"/>
      <c r="D535" s="8"/>
      <c r="E535" s="8"/>
    </row>
    <row r="536" spans="2:5" x14ac:dyDescent="0.2">
      <c r="B536" s="8"/>
      <c r="C536" s="8"/>
      <c r="D536" s="8"/>
      <c r="E536" s="8"/>
    </row>
    <row r="537" spans="2:5" x14ac:dyDescent="0.2">
      <c r="B537" s="8"/>
      <c r="C537" s="8"/>
      <c r="D537" s="8"/>
      <c r="E537" s="8"/>
    </row>
    <row r="538" spans="2:5" x14ac:dyDescent="0.2">
      <c r="B538" s="8"/>
      <c r="C538" s="8"/>
      <c r="D538" s="8"/>
      <c r="E538" s="8"/>
    </row>
    <row r="539" spans="2:5" x14ac:dyDescent="0.2">
      <c r="B539" s="8"/>
      <c r="C539" s="8"/>
      <c r="D539" s="8"/>
      <c r="E539" s="8"/>
    </row>
    <row r="540" spans="2:5" x14ac:dyDescent="0.2">
      <c r="B540" s="8"/>
      <c r="C540" s="8"/>
      <c r="D540" s="8"/>
      <c r="E540" s="8"/>
    </row>
    <row r="541" spans="2:5" x14ac:dyDescent="0.2">
      <c r="B541" s="8"/>
      <c r="C541" s="8"/>
      <c r="D541" s="8"/>
      <c r="E541" s="8"/>
    </row>
    <row r="542" spans="2:5" x14ac:dyDescent="0.2">
      <c r="B542" s="8"/>
      <c r="C542" s="8"/>
      <c r="D542" s="8"/>
      <c r="E542" s="8"/>
    </row>
    <row r="543" spans="2:5" x14ac:dyDescent="0.2">
      <c r="B543" s="8"/>
      <c r="C543" s="8"/>
      <c r="D543" s="8"/>
      <c r="E543" s="8"/>
    </row>
    <row r="544" spans="2:5" x14ac:dyDescent="0.2">
      <c r="B544" s="8"/>
      <c r="C544" s="8"/>
      <c r="D544" s="8"/>
      <c r="E544" s="8"/>
    </row>
    <row r="545" spans="2:5" x14ac:dyDescent="0.2">
      <c r="B545" s="8"/>
      <c r="C545" s="8"/>
      <c r="D545" s="8"/>
      <c r="E545" s="8"/>
    </row>
    <row r="546" spans="2:5" x14ac:dyDescent="0.2">
      <c r="B546" s="8"/>
      <c r="C546" s="8"/>
      <c r="D546" s="8"/>
      <c r="E546" s="8"/>
    </row>
    <row r="547" spans="2:5" x14ac:dyDescent="0.2">
      <c r="B547" s="8"/>
      <c r="C547" s="8"/>
      <c r="D547" s="8"/>
      <c r="E547" s="8"/>
    </row>
    <row r="548" spans="2:5" x14ac:dyDescent="0.2">
      <c r="B548" s="8"/>
      <c r="C548" s="8"/>
      <c r="D548" s="8"/>
      <c r="E548" s="8"/>
    </row>
    <row r="549" spans="2:5" x14ac:dyDescent="0.2">
      <c r="B549" s="8"/>
      <c r="C549" s="8"/>
      <c r="D549" s="8"/>
      <c r="E549" s="8"/>
    </row>
    <row r="550" spans="2:5" x14ac:dyDescent="0.2">
      <c r="B550" s="8"/>
      <c r="C550" s="8"/>
      <c r="D550" s="8"/>
      <c r="E550" s="8"/>
    </row>
    <row r="551" spans="2:5" x14ac:dyDescent="0.2">
      <c r="B551" s="8"/>
      <c r="C551" s="8"/>
      <c r="D551" s="8"/>
      <c r="E551" s="8"/>
    </row>
    <row r="552" spans="2:5" x14ac:dyDescent="0.2">
      <c r="B552" s="8"/>
      <c r="C552" s="8"/>
      <c r="D552" s="8"/>
      <c r="E552" s="8"/>
    </row>
    <row r="553" spans="2:5" x14ac:dyDescent="0.2">
      <c r="B553" s="8"/>
      <c r="C553" s="8"/>
      <c r="D553" s="8"/>
      <c r="E553" s="8"/>
    </row>
    <row r="554" spans="2:5" x14ac:dyDescent="0.2">
      <c r="B554" s="8"/>
      <c r="C554" s="8"/>
      <c r="D554" s="8"/>
      <c r="E554" s="8"/>
    </row>
    <row r="555" spans="2:5" x14ac:dyDescent="0.2">
      <c r="B555" s="8"/>
      <c r="C555" s="8"/>
      <c r="D555" s="8"/>
      <c r="E555" s="8"/>
    </row>
    <row r="556" spans="2:5" x14ac:dyDescent="0.2">
      <c r="B556" s="8"/>
      <c r="C556" s="8"/>
      <c r="D556" s="8"/>
      <c r="E556" s="8"/>
    </row>
    <row r="557" spans="2:5" x14ac:dyDescent="0.2">
      <c r="B557" s="8"/>
      <c r="C557" s="8"/>
      <c r="D557" s="8"/>
      <c r="E557" s="8"/>
    </row>
    <row r="558" spans="2:5" x14ac:dyDescent="0.2">
      <c r="B558" s="8"/>
      <c r="C558" s="8"/>
      <c r="D558" s="8"/>
      <c r="E558" s="8"/>
    </row>
    <row r="559" spans="2:5" x14ac:dyDescent="0.2">
      <c r="B559" s="8"/>
      <c r="C559" s="8"/>
      <c r="D559" s="8"/>
      <c r="E559" s="8"/>
    </row>
    <row r="560" spans="2:5" x14ac:dyDescent="0.2">
      <c r="B560" s="8"/>
      <c r="C560" s="8"/>
      <c r="D560" s="8"/>
      <c r="E560" s="8"/>
    </row>
    <row r="561" spans="2:5" x14ac:dyDescent="0.2">
      <c r="B561" s="8"/>
      <c r="C561" s="8"/>
      <c r="D561" s="8"/>
      <c r="E561" s="8"/>
    </row>
    <row r="562" spans="2:5" x14ac:dyDescent="0.2">
      <c r="B562" s="8"/>
      <c r="C562" s="8"/>
      <c r="D562" s="8"/>
      <c r="E562" s="8"/>
    </row>
    <row r="563" spans="2:5" x14ac:dyDescent="0.2">
      <c r="B563" s="8"/>
      <c r="C563" s="8"/>
      <c r="D563" s="8"/>
      <c r="E563" s="8"/>
    </row>
    <row r="564" spans="2:5" x14ac:dyDescent="0.2">
      <c r="B564" s="8"/>
      <c r="C564" s="8"/>
      <c r="D564" s="8"/>
      <c r="E564" s="8"/>
    </row>
    <row r="565" spans="2:5" x14ac:dyDescent="0.2">
      <c r="B565" s="8"/>
      <c r="C565" s="8"/>
      <c r="D565" s="8"/>
      <c r="E565" s="8"/>
    </row>
    <row r="566" spans="2:5" x14ac:dyDescent="0.2">
      <c r="B566" s="8"/>
      <c r="C566" s="8"/>
      <c r="D566" s="8"/>
      <c r="E566" s="8"/>
    </row>
    <row r="567" spans="2:5" x14ac:dyDescent="0.2">
      <c r="B567" s="8"/>
      <c r="C567" s="8"/>
      <c r="D567" s="8"/>
      <c r="E567" s="8"/>
    </row>
    <row r="568" spans="2:5" x14ac:dyDescent="0.2">
      <c r="B568" s="8"/>
      <c r="C568" s="8"/>
      <c r="D568" s="8"/>
      <c r="E568" s="8"/>
    </row>
    <row r="569" spans="2:5" x14ac:dyDescent="0.2">
      <c r="B569" s="8"/>
      <c r="C569" s="8"/>
      <c r="D569" s="8"/>
      <c r="E569" s="8"/>
    </row>
    <row r="570" spans="2:5" x14ac:dyDescent="0.2">
      <c r="B570" s="8"/>
      <c r="C570" s="8"/>
      <c r="D570" s="8"/>
      <c r="E570" s="8"/>
    </row>
    <row r="571" spans="2:5" x14ac:dyDescent="0.2">
      <c r="B571" s="8"/>
      <c r="C571" s="8"/>
      <c r="D571" s="8"/>
      <c r="E571" s="8"/>
    </row>
    <row r="572" spans="2:5" x14ac:dyDescent="0.2">
      <c r="B572" s="8"/>
      <c r="C572" s="8"/>
      <c r="D572" s="8"/>
      <c r="E572" s="8"/>
    </row>
    <row r="573" spans="2:5" x14ac:dyDescent="0.2">
      <c r="B573" s="8"/>
      <c r="C573" s="8"/>
      <c r="D573" s="8"/>
      <c r="E573" s="8"/>
    </row>
    <row r="574" spans="2:5" x14ac:dyDescent="0.2">
      <c r="B574" s="8"/>
      <c r="C574" s="8"/>
      <c r="D574" s="8"/>
      <c r="E574" s="8"/>
    </row>
    <row r="575" spans="2:5" x14ac:dyDescent="0.2">
      <c r="B575" s="8"/>
      <c r="C575" s="8"/>
      <c r="D575" s="8"/>
      <c r="E575" s="8"/>
    </row>
    <row r="576" spans="2:5" x14ac:dyDescent="0.2">
      <c r="B576" s="8"/>
      <c r="C576" s="8"/>
      <c r="D576" s="8"/>
      <c r="E576" s="8"/>
    </row>
    <row r="577" spans="2:5" x14ac:dyDescent="0.2">
      <c r="B577" s="8"/>
      <c r="C577" s="8"/>
      <c r="D577" s="8"/>
      <c r="E577" s="8"/>
    </row>
    <row r="578" spans="2:5" x14ac:dyDescent="0.2">
      <c r="B578" s="8"/>
      <c r="C578" s="8"/>
      <c r="D578" s="8"/>
      <c r="E578" s="8"/>
    </row>
    <row r="579" spans="2:5" x14ac:dyDescent="0.2">
      <c r="B579" s="8"/>
      <c r="C579" s="8"/>
      <c r="D579" s="8"/>
      <c r="E579" s="8"/>
    </row>
    <row r="580" spans="2:5" x14ac:dyDescent="0.2">
      <c r="B580" s="8"/>
      <c r="C580" s="8"/>
      <c r="D580" s="8"/>
      <c r="E580" s="8"/>
    </row>
    <row r="581" spans="2:5" x14ac:dyDescent="0.2">
      <c r="B581" s="8"/>
      <c r="C581" s="8"/>
      <c r="D581" s="8"/>
      <c r="E581" s="8"/>
    </row>
    <row r="582" spans="2:5" x14ac:dyDescent="0.2">
      <c r="B582" s="8"/>
      <c r="C582" s="8"/>
      <c r="D582" s="8"/>
      <c r="E582" s="8"/>
    </row>
    <row r="583" spans="2:5" x14ac:dyDescent="0.2">
      <c r="B583" s="8"/>
      <c r="C583" s="8"/>
      <c r="D583" s="8"/>
      <c r="E583" s="8"/>
    </row>
    <row r="584" spans="2:5" x14ac:dyDescent="0.2">
      <c r="B584" s="8"/>
      <c r="C584" s="8"/>
      <c r="D584" s="8"/>
      <c r="E584" s="8"/>
    </row>
    <row r="585" spans="2:5" x14ac:dyDescent="0.2">
      <c r="B585" s="8"/>
      <c r="C585" s="8"/>
      <c r="D585" s="8"/>
      <c r="E585" s="8"/>
    </row>
    <row r="586" spans="2:5" x14ac:dyDescent="0.2">
      <c r="B586" s="8"/>
      <c r="C586" s="8"/>
      <c r="D586" s="8"/>
      <c r="E586" s="8"/>
    </row>
    <row r="587" spans="2:5" x14ac:dyDescent="0.2">
      <c r="B587" s="8"/>
      <c r="C587" s="8"/>
      <c r="D587" s="8"/>
      <c r="E587" s="8"/>
    </row>
    <row r="588" spans="2:5" x14ac:dyDescent="0.2">
      <c r="B588" s="8"/>
      <c r="C588" s="8"/>
      <c r="D588" s="8"/>
      <c r="E588" s="8"/>
    </row>
    <row r="589" spans="2:5" x14ac:dyDescent="0.2">
      <c r="B589" s="8"/>
      <c r="C589" s="8"/>
      <c r="D589" s="8"/>
      <c r="E589" s="8"/>
    </row>
    <row r="590" spans="2:5" x14ac:dyDescent="0.2">
      <c r="B590" s="8"/>
      <c r="C590" s="8"/>
      <c r="D590" s="8"/>
      <c r="E590" s="8"/>
    </row>
    <row r="591" spans="2:5" x14ac:dyDescent="0.2">
      <c r="B591" s="8"/>
      <c r="C591" s="8"/>
      <c r="D591" s="8"/>
      <c r="E591" s="8"/>
    </row>
    <row r="592" spans="2:5" x14ac:dyDescent="0.2">
      <c r="B592" s="8"/>
      <c r="C592" s="8"/>
      <c r="D592" s="8"/>
      <c r="E592" s="8"/>
    </row>
    <row r="593" spans="2:5" x14ac:dyDescent="0.2">
      <c r="B593" s="8"/>
      <c r="C593" s="8"/>
      <c r="D593" s="8"/>
      <c r="E593" s="8"/>
    </row>
    <row r="594" spans="2:5" x14ac:dyDescent="0.2">
      <c r="B594" s="8"/>
      <c r="C594" s="8"/>
      <c r="D594" s="8"/>
      <c r="E594" s="8"/>
    </row>
    <row r="595" spans="2:5" x14ac:dyDescent="0.2">
      <c r="B595" s="8"/>
      <c r="C595" s="8"/>
      <c r="D595" s="8"/>
      <c r="E595" s="8"/>
    </row>
    <row r="596" spans="2:5" x14ac:dyDescent="0.2">
      <c r="B596" s="8"/>
      <c r="C596" s="8"/>
      <c r="D596" s="8"/>
      <c r="E596" s="8"/>
    </row>
    <row r="597" spans="2:5" x14ac:dyDescent="0.2">
      <c r="B597" s="8"/>
      <c r="C597" s="8"/>
      <c r="D597" s="8"/>
      <c r="E597" s="8"/>
    </row>
    <row r="598" spans="2:5" x14ac:dyDescent="0.2">
      <c r="B598" s="8"/>
      <c r="C598" s="8"/>
      <c r="D598" s="8"/>
      <c r="E598" s="8"/>
    </row>
    <row r="599" spans="2:5" x14ac:dyDescent="0.2">
      <c r="B599" s="8"/>
      <c r="C599" s="8"/>
      <c r="D599" s="8"/>
      <c r="E599" s="8"/>
    </row>
    <row r="600" spans="2:5" x14ac:dyDescent="0.2">
      <c r="B600" s="8"/>
      <c r="C600" s="8"/>
      <c r="D600" s="8"/>
      <c r="E600" s="8"/>
    </row>
    <row r="601" spans="2:5" x14ac:dyDescent="0.2">
      <c r="B601" s="8"/>
      <c r="C601" s="8"/>
      <c r="D601" s="8"/>
      <c r="E601" s="8"/>
    </row>
    <row r="602" spans="2:5" x14ac:dyDescent="0.2">
      <c r="B602" s="8"/>
      <c r="C602" s="8"/>
      <c r="D602" s="8"/>
      <c r="E602" s="8"/>
    </row>
    <row r="603" spans="2:5" x14ac:dyDescent="0.2">
      <c r="B603" s="8"/>
      <c r="C603" s="8"/>
      <c r="D603" s="8"/>
      <c r="E603" s="8"/>
    </row>
    <row r="604" spans="2:5" x14ac:dyDescent="0.2">
      <c r="B604" s="8"/>
      <c r="C604" s="8"/>
      <c r="D604" s="8"/>
      <c r="E604" s="8"/>
    </row>
    <row r="605" spans="2:5" x14ac:dyDescent="0.2">
      <c r="B605" s="8"/>
      <c r="C605" s="8"/>
      <c r="D605" s="8"/>
      <c r="E605" s="8"/>
    </row>
    <row r="606" spans="2:5" x14ac:dyDescent="0.2">
      <c r="B606" s="8"/>
      <c r="C606" s="8"/>
      <c r="D606" s="8"/>
      <c r="E606" s="8"/>
    </row>
    <row r="607" spans="2:5" x14ac:dyDescent="0.2">
      <c r="B607" s="8"/>
      <c r="C607" s="8"/>
      <c r="D607" s="8"/>
      <c r="E607" s="8"/>
    </row>
    <row r="608" spans="2:5" x14ac:dyDescent="0.2">
      <c r="B608" s="8"/>
      <c r="C608" s="8"/>
      <c r="D608" s="8"/>
      <c r="E608" s="8"/>
    </row>
    <row r="609" spans="2:5" x14ac:dyDescent="0.2">
      <c r="B609" s="8"/>
      <c r="C609" s="8"/>
      <c r="D609" s="8"/>
      <c r="E609" s="8"/>
    </row>
    <row r="610" spans="2:5" x14ac:dyDescent="0.2">
      <c r="B610" s="8"/>
      <c r="C610" s="8"/>
      <c r="D610" s="8"/>
      <c r="E610" s="8"/>
    </row>
    <row r="611" spans="2:5" x14ac:dyDescent="0.2">
      <c r="B611" s="8"/>
      <c r="C611" s="8"/>
      <c r="D611" s="8"/>
      <c r="E611" s="8"/>
    </row>
    <row r="612" spans="2:5" x14ac:dyDescent="0.2">
      <c r="B612" s="8"/>
      <c r="C612" s="8"/>
      <c r="D612" s="8"/>
      <c r="E612" s="8"/>
    </row>
    <row r="613" spans="2:5" x14ac:dyDescent="0.2">
      <c r="B613" s="8"/>
      <c r="C613" s="8"/>
      <c r="D613" s="8"/>
      <c r="E613" s="8"/>
    </row>
    <row r="614" spans="2:5" x14ac:dyDescent="0.2">
      <c r="B614" s="8"/>
      <c r="C614" s="8"/>
      <c r="D614" s="8"/>
      <c r="E614" s="8"/>
    </row>
    <row r="615" spans="2:5" x14ac:dyDescent="0.2">
      <c r="B615" s="8"/>
      <c r="C615" s="8"/>
      <c r="D615" s="8"/>
      <c r="E615" s="8"/>
    </row>
    <row r="616" spans="2:5" x14ac:dyDescent="0.2">
      <c r="B616" s="8"/>
      <c r="C616" s="8"/>
      <c r="D616" s="8"/>
      <c r="E616" s="8"/>
    </row>
    <row r="617" spans="2:5" x14ac:dyDescent="0.2">
      <c r="B617" s="8"/>
      <c r="C617" s="8"/>
      <c r="D617" s="8"/>
      <c r="E617" s="8"/>
    </row>
    <row r="618" spans="2:5" x14ac:dyDescent="0.2">
      <c r="B618" s="8"/>
      <c r="C618" s="8"/>
      <c r="D618" s="8"/>
      <c r="E618" s="8"/>
    </row>
    <row r="619" spans="2:5" x14ac:dyDescent="0.2">
      <c r="B619" s="8"/>
      <c r="C619" s="8"/>
      <c r="D619" s="8"/>
      <c r="E619" s="8"/>
    </row>
    <row r="620" spans="2:5" x14ac:dyDescent="0.2">
      <c r="B620" s="8"/>
      <c r="C620" s="8"/>
      <c r="D620" s="8"/>
      <c r="E620" s="8"/>
    </row>
    <row r="621" spans="2:5" x14ac:dyDescent="0.2">
      <c r="B621" s="8"/>
      <c r="C621" s="8"/>
      <c r="D621" s="8"/>
      <c r="E621" s="8"/>
    </row>
    <row r="622" spans="2:5" x14ac:dyDescent="0.2">
      <c r="B622" s="8"/>
      <c r="C622" s="8"/>
      <c r="D622" s="8"/>
      <c r="E622" s="8"/>
    </row>
    <row r="623" spans="2:5" x14ac:dyDescent="0.2">
      <c r="B623" s="8"/>
      <c r="C623" s="8"/>
      <c r="D623" s="8"/>
      <c r="E623" s="8"/>
    </row>
    <row r="624" spans="2:5" x14ac:dyDescent="0.2">
      <c r="B624" s="8"/>
      <c r="C624" s="8"/>
      <c r="D624" s="8"/>
      <c r="E624" s="8"/>
    </row>
    <row r="625" spans="2:5" x14ac:dyDescent="0.2">
      <c r="B625" s="8"/>
      <c r="C625" s="8"/>
      <c r="D625" s="8"/>
      <c r="E625" s="8"/>
    </row>
    <row r="626" spans="2:5" x14ac:dyDescent="0.2">
      <c r="B626" s="8"/>
      <c r="C626" s="8"/>
      <c r="D626" s="8"/>
      <c r="E626" s="8"/>
    </row>
    <row r="627" spans="2:5" x14ac:dyDescent="0.2">
      <c r="B627" s="8"/>
      <c r="C627" s="8"/>
      <c r="D627" s="8"/>
      <c r="E627" s="8"/>
    </row>
    <row r="628" spans="2:5" x14ac:dyDescent="0.2">
      <c r="B628" s="8"/>
      <c r="C628" s="8"/>
      <c r="D628" s="8"/>
      <c r="E628" s="8"/>
    </row>
    <row r="629" spans="2:5" x14ac:dyDescent="0.2">
      <c r="B629" s="8"/>
      <c r="C629" s="8"/>
      <c r="D629" s="8"/>
      <c r="E629" s="8"/>
    </row>
    <row r="630" spans="2:5" x14ac:dyDescent="0.2">
      <c r="B630" s="8"/>
      <c r="C630" s="8"/>
      <c r="D630" s="8"/>
      <c r="E630" s="8"/>
    </row>
    <row r="631" spans="2:5" x14ac:dyDescent="0.2">
      <c r="B631" s="8"/>
      <c r="C631" s="8"/>
      <c r="D631" s="8"/>
      <c r="E631" s="8"/>
    </row>
    <row r="632" spans="2:5" x14ac:dyDescent="0.2">
      <c r="B632" s="8"/>
      <c r="C632" s="8"/>
      <c r="D632" s="8"/>
      <c r="E632" s="8"/>
    </row>
    <row r="633" spans="2:5" x14ac:dyDescent="0.2">
      <c r="B633" s="8"/>
      <c r="C633" s="8"/>
      <c r="D633" s="8"/>
      <c r="E633" s="8"/>
    </row>
    <row r="634" spans="2:5" x14ac:dyDescent="0.2">
      <c r="B634" s="8"/>
      <c r="C634" s="8"/>
      <c r="D634" s="8"/>
      <c r="E634" s="8"/>
    </row>
    <row r="635" spans="2:5" x14ac:dyDescent="0.2">
      <c r="B635" s="8"/>
      <c r="C635" s="8"/>
      <c r="D635" s="8"/>
      <c r="E635" s="8"/>
    </row>
    <row r="636" spans="2:5" x14ac:dyDescent="0.2">
      <c r="B636" s="8"/>
      <c r="C636" s="8"/>
      <c r="D636" s="8"/>
      <c r="E636" s="8"/>
    </row>
    <row r="637" spans="2:5" x14ac:dyDescent="0.2">
      <c r="B637" s="8"/>
      <c r="C637" s="8"/>
      <c r="D637" s="8"/>
      <c r="E637" s="8"/>
    </row>
    <row r="638" spans="2:5" x14ac:dyDescent="0.2">
      <c r="B638" s="8"/>
      <c r="C638" s="8"/>
      <c r="D638" s="8"/>
      <c r="E638" s="8"/>
    </row>
    <row r="639" spans="2:5" x14ac:dyDescent="0.2">
      <c r="B639" s="8"/>
      <c r="C639" s="8"/>
      <c r="D639" s="8"/>
      <c r="E639" s="8"/>
    </row>
    <row r="640" spans="2:5" x14ac:dyDescent="0.2">
      <c r="B640" s="8"/>
      <c r="C640" s="8"/>
      <c r="D640" s="8"/>
      <c r="E640" s="8"/>
    </row>
    <row r="641" spans="2:5" x14ac:dyDescent="0.2">
      <c r="B641" s="8"/>
      <c r="C641" s="8"/>
      <c r="D641" s="8"/>
      <c r="E641" s="8"/>
    </row>
    <row r="642" spans="2:5" x14ac:dyDescent="0.2">
      <c r="B642" s="8"/>
      <c r="C642" s="8"/>
      <c r="D642" s="8"/>
      <c r="E642" s="8"/>
    </row>
    <row r="643" spans="2:5" x14ac:dyDescent="0.2">
      <c r="B643" s="8"/>
      <c r="C643" s="8"/>
      <c r="D643" s="8"/>
      <c r="E643" s="8"/>
    </row>
    <row r="644" spans="2:5" x14ac:dyDescent="0.2">
      <c r="B644" s="8"/>
      <c r="C644" s="8"/>
      <c r="D644" s="8"/>
      <c r="E644" s="8"/>
    </row>
    <row r="645" spans="2:5" x14ac:dyDescent="0.2">
      <c r="B645" s="8"/>
      <c r="C645" s="8"/>
      <c r="D645" s="8"/>
      <c r="E645" s="8"/>
    </row>
    <row r="646" spans="2:5" x14ac:dyDescent="0.2">
      <c r="B646" s="8"/>
      <c r="C646" s="8"/>
      <c r="D646" s="8"/>
      <c r="E646" s="8"/>
    </row>
    <row r="647" spans="2:5" x14ac:dyDescent="0.2">
      <c r="B647" s="8"/>
      <c r="C647" s="8"/>
      <c r="D647" s="8"/>
      <c r="E647" s="8"/>
    </row>
    <row r="648" spans="2:5" x14ac:dyDescent="0.2">
      <c r="B648" s="8"/>
      <c r="C648" s="8"/>
      <c r="D648" s="8"/>
      <c r="E648" s="8"/>
    </row>
    <row r="649" spans="2:5" x14ac:dyDescent="0.2">
      <c r="B649" s="8"/>
      <c r="C649" s="8"/>
      <c r="D649" s="8"/>
      <c r="E649" s="8"/>
    </row>
    <row r="650" spans="2:5" x14ac:dyDescent="0.2">
      <c r="B650" s="8"/>
      <c r="C650" s="8"/>
      <c r="D650" s="8"/>
      <c r="E650" s="8"/>
    </row>
    <row r="651" spans="2:5" x14ac:dyDescent="0.2">
      <c r="B651" s="8"/>
      <c r="C651" s="8"/>
      <c r="D651" s="8"/>
      <c r="E651" s="8"/>
    </row>
    <row r="652" spans="2:5" x14ac:dyDescent="0.2">
      <c r="B652" s="8"/>
      <c r="C652" s="8"/>
      <c r="D652" s="8"/>
      <c r="E652" s="8"/>
    </row>
    <row r="653" spans="2:5" x14ac:dyDescent="0.2">
      <c r="B653" s="8"/>
      <c r="C653" s="8"/>
      <c r="D653" s="8"/>
      <c r="E653" s="8"/>
    </row>
    <row r="654" spans="2:5" x14ac:dyDescent="0.2">
      <c r="B654" s="8"/>
      <c r="C654" s="8"/>
      <c r="D654" s="8"/>
      <c r="E654" s="8"/>
    </row>
    <row r="655" spans="2:5" x14ac:dyDescent="0.2">
      <c r="B655" s="8"/>
      <c r="C655" s="8"/>
      <c r="D655" s="8"/>
      <c r="E655" s="8"/>
    </row>
    <row r="656" spans="2:5" x14ac:dyDescent="0.2">
      <c r="B656" s="8"/>
      <c r="C656" s="8"/>
      <c r="D656" s="8"/>
      <c r="E656" s="8"/>
    </row>
    <row r="657" spans="2:5" x14ac:dyDescent="0.2">
      <c r="B657" s="8"/>
      <c r="C657" s="8"/>
      <c r="D657" s="8"/>
      <c r="E657" s="8"/>
    </row>
    <row r="658" spans="2:5" x14ac:dyDescent="0.2">
      <c r="B658" s="8"/>
      <c r="C658" s="8"/>
      <c r="D658" s="8"/>
      <c r="E658" s="8"/>
    </row>
    <row r="659" spans="2:5" x14ac:dyDescent="0.2">
      <c r="B659" s="8"/>
      <c r="C659" s="8"/>
      <c r="D659" s="8"/>
      <c r="E659" s="8"/>
    </row>
    <row r="660" spans="2:5" x14ac:dyDescent="0.2">
      <c r="B660" s="8"/>
      <c r="C660" s="8"/>
      <c r="D660" s="8"/>
      <c r="E660" s="8"/>
    </row>
    <row r="661" spans="2:5" x14ac:dyDescent="0.2">
      <c r="B661" s="8"/>
      <c r="C661" s="8"/>
      <c r="D661" s="8"/>
      <c r="E661" s="8"/>
    </row>
    <row r="662" spans="2:5" x14ac:dyDescent="0.2">
      <c r="B662" s="8"/>
      <c r="C662" s="8"/>
      <c r="D662" s="8"/>
      <c r="E662" s="8"/>
    </row>
    <row r="663" spans="2:5" x14ac:dyDescent="0.2">
      <c r="B663" s="8"/>
      <c r="C663" s="8"/>
      <c r="D663" s="8"/>
      <c r="E663" s="8"/>
    </row>
    <row r="664" spans="2:5" x14ac:dyDescent="0.2">
      <c r="B664" s="8"/>
      <c r="C664" s="8"/>
      <c r="D664" s="8"/>
      <c r="E664" s="8"/>
    </row>
    <row r="665" spans="2:5" x14ac:dyDescent="0.2">
      <c r="B665" s="8"/>
      <c r="C665" s="8"/>
      <c r="D665" s="8"/>
      <c r="E665" s="8"/>
    </row>
    <row r="666" spans="2:5" x14ac:dyDescent="0.2">
      <c r="B666" s="8"/>
      <c r="C666" s="8"/>
      <c r="D666" s="8"/>
      <c r="E666" s="8"/>
    </row>
    <row r="667" spans="2:5" x14ac:dyDescent="0.2">
      <c r="B667" s="8"/>
      <c r="C667" s="8"/>
      <c r="D667" s="8"/>
      <c r="E667" s="8"/>
    </row>
    <row r="668" spans="2:5" x14ac:dyDescent="0.2">
      <c r="B668" s="8"/>
      <c r="C668" s="8"/>
      <c r="D668" s="8"/>
      <c r="E668" s="8"/>
    </row>
    <row r="669" spans="2:5" x14ac:dyDescent="0.2">
      <c r="B669" s="8"/>
      <c r="C669" s="8"/>
      <c r="D669" s="8"/>
      <c r="E669" s="8"/>
    </row>
    <row r="670" spans="2:5" x14ac:dyDescent="0.2">
      <c r="B670" s="8"/>
      <c r="C670" s="8"/>
      <c r="D670" s="8"/>
      <c r="E670" s="8"/>
    </row>
    <row r="671" spans="2:5" x14ac:dyDescent="0.2">
      <c r="B671" s="8"/>
      <c r="C671" s="8"/>
      <c r="D671" s="8"/>
      <c r="E671" s="8"/>
    </row>
    <row r="672" spans="2:5" x14ac:dyDescent="0.2">
      <c r="B672" s="8"/>
      <c r="C672" s="8"/>
      <c r="D672" s="8"/>
      <c r="E672" s="8"/>
    </row>
    <row r="673" spans="2:5" x14ac:dyDescent="0.2">
      <c r="B673" s="8"/>
      <c r="C673" s="8"/>
      <c r="D673" s="8"/>
      <c r="E673" s="8"/>
    </row>
    <row r="674" spans="2:5" x14ac:dyDescent="0.2">
      <c r="B674" s="8"/>
      <c r="C674" s="8"/>
      <c r="D674" s="8"/>
      <c r="E674" s="8"/>
    </row>
    <row r="675" spans="2:5" x14ac:dyDescent="0.2">
      <c r="B675" s="8"/>
      <c r="C675" s="8"/>
      <c r="D675" s="8"/>
      <c r="E675" s="8"/>
    </row>
    <row r="676" spans="2:5" x14ac:dyDescent="0.2">
      <c r="B676" s="8"/>
      <c r="C676" s="8"/>
      <c r="D676" s="8"/>
      <c r="E676" s="8"/>
    </row>
    <row r="677" spans="2:5" x14ac:dyDescent="0.2">
      <c r="B677" s="8"/>
      <c r="C677" s="8"/>
      <c r="D677" s="8"/>
      <c r="E677" s="8"/>
    </row>
    <row r="678" spans="2:5" x14ac:dyDescent="0.2">
      <c r="B678" s="8"/>
      <c r="C678" s="8"/>
      <c r="D678" s="8"/>
      <c r="E678" s="8"/>
    </row>
    <row r="679" spans="2:5" x14ac:dyDescent="0.2">
      <c r="B679" s="8"/>
      <c r="C679" s="8"/>
      <c r="D679" s="8"/>
      <c r="E679" s="8"/>
    </row>
    <row r="680" spans="2:5" x14ac:dyDescent="0.2">
      <c r="B680" s="8"/>
      <c r="C680" s="8"/>
      <c r="D680" s="8"/>
      <c r="E680" s="8"/>
    </row>
    <row r="681" spans="2:5" x14ac:dyDescent="0.2">
      <c r="B681" s="8"/>
      <c r="C681" s="8"/>
      <c r="D681" s="8"/>
      <c r="E681" s="8"/>
    </row>
    <row r="682" spans="2:5" x14ac:dyDescent="0.2">
      <c r="B682" s="8"/>
      <c r="C682" s="8"/>
      <c r="D682" s="8"/>
      <c r="E682" s="8"/>
    </row>
    <row r="683" spans="2:5" x14ac:dyDescent="0.2">
      <c r="B683" s="8"/>
      <c r="C683" s="8"/>
      <c r="D683" s="8"/>
      <c r="E683" s="8"/>
    </row>
    <row r="684" spans="2:5" x14ac:dyDescent="0.2">
      <c r="B684" s="8"/>
      <c r="C684" s="8"/>
      <c r="D684" s="8"/>
      <c r="E684" s="8"/>
    </row>
    <row r="685" spans="2:5" x14ac:dyDescent="0.2">
      <c r="B685" s="8"/>
      <c r="C685" s="8"/>
      <c r="D685" s="8"/>
      <c r="E685" s="8"/>
    </row>
    <row r="686" spans="2:5" x14ac:dyDescent="0.2">
      <c r="B686" s="8"/>
      <c r="C686" s="8"/>
      <c r="D686" s="8"/>
      <c r="E686" s="8"/>
    </row>
    <row r="687" spans="2:5" x14ac:dyDescent="0.2">
      <c r="B687" s="8"/>
      <c r="C687" s="8"/>
      <c r="D687" s="8"/>
      <c r="E687" s="8"/>
    </row>
    <row r="688" spans="2:5" x14ac:dyDescent="0.2">
      <c r="B688" s="8"/>
      <c r="C688" s="8"/>
      <c r="D688" s="8"/>
      <c r="E688" s="8"/>
    </row>
    <row r="689" spans="2:5" x14ac:dyDescent="0.2">
      <c r="B689" s="8"/>
      <c r="C689" s="8"/>
      <c r="D689" s="8"/>
      <c r="E689" s="8"/>
    </row>
    <row r="690" spans="2:5" x14ac:dyDescent="0.2">
      <c r="B690" s="8"/>
      <c r="C690" s="8"/>
      <c r="D690" s="8"/>
      <c r="E690" s="8"/>
    </row>
    <row r="691" spans="2:5" x14ac:dyDescent="0.2">
      <c r="B691" s="8"/>
      <c r="C691" s="8"/>
      <c r="D691" s="8"/>
      <c r="E691" s="8"/>
    </row>
    <row r="692" spans="2:5" x14ac:dyDescent="0.2">
      <c r="B692" s="8"/>
      <c r="C692" s="8"/>
      <c r="D692" s="8"/>
      <c r="E692" s="8"/>
    </row>
    <row r="693" spans="2:5" x14ac:dyDescent="0.2">
      <c r="B693" s="8"/>
      <c r="C693" s="8"/>
      <c r="D693" s="8"/>
      <c r="E693" s="8"/>
    </row>
    <row r="694" spans="2:5" x14ac:dyDescent="0.2">
      <c r="B694" s="8"/>
      <c r="C694" s="8"/>
      <c r="D694" s="8"/>
      <c r="E694" s="8"/>
    </row>
    <row r="695" spans="2:5" x14ac:dyDescent="0.2">
      <c r="B695" s="8"/>
      <c r="C695" s="8"/>
      <c r="D695" s="8"/>
      <c r="E695" s="8"/>
    </row>
    <row r="696" spans="2:5" x14ac:dyDescent="0.2">
      <c r="B696" s="8"/>
      <c r="C696" s="8"/>
      <c r="D696" s="8"/>
      <c r="E696" s="8"/>
    </row>
    <row r="697" spans="2:5" x14ac:dyDescent="0.2">
      <c r="B697" s="8"/>
      <c r="C697" s="8"/>
      <c r="D697" s="8"/>
      <c r="E697" s="8"/>
    </row>
    <row r="698" spans="2:5" x14ac:dyDescent="0.2">
      <c r="B698" s="8"/>
      <c r="C698" s="8"/>
      <c r="D698" s="8"/>
      <c r="E698" s="8"/>
    </row>
    <row r="699" spans="2:5" x14ac:dyDescent="0.2">
      <c r="B699" s="8"/>
      <c r="C699" s="8"/>
      <c r="D699" s="8"/>
      <c r="E699" s="8"/>
    </row>
    <row r="700" spans="2:5" x14ac:dyDescent="0.2">
      <c r="B700" s="8"/>
      <c r="C700" s="8"/>
      <c r="D700" s="8"/>
      <c r="E700" s="8"/>
    </row>
    <row r="701" spans="2:5" x14ac:dyDescent="0.2">
      <c r="B701" s="8"/>
      <c r="C701" s="8"/>
      <c r="D701" s="8"/>
      <c r="E701" s="8"/>
    </row>
    <row r="702" spans="2:5" x14ac:dyDescent="0.2">
      <c r="B702" s="8"/>
      <c r="C702" s="8"/>
      <c r="D702" s="8"/>
      <c r="E702" s="8"/>
    </row>
    <row r="703" spans="2:5" x14ac:dyDescent="0.2">
      <c r="B703" s="8"/>
      <c r="C703" s="8"/>
      <c r="D703" s="8"/>
      <c r="E703" s="8"/>
    </row>
    <row r="704" spans="2:5" x14ac:dyDescent="0.2">
      <c r="B704" s="8"/>
      <c r="C704" s="8"/>
      <c r="D704" s="8"/>
      <c r="E704" s="8"/>
    </row>
    <row r="705" spans="2:5" x14ac:dyDescent="0.2">
      <c r="B705" s="8"/>
      <c r="C705" s="8"/>
      <c r="D705" s="8"/>
      <c r="E705" s="8"/>
    </row>
    <row r="706" spans="2:5" x14ac:dyDescent="0.2">
      <c r="B706" s="8"/>
      <c r="C706" s="8"/>
      <c r="D706" s="8"/>
      <c r="E706" s="8"/>
    </row>
    <row r="707" spans="2:5" x14ac:dyDescent="0.2">
      <c r="B707" s="8"/>
      <c r="C707" s="8"/>
      <c r="D707" s="8"/>
      <c r="E707" s="8"/>
    </row>
    <row r="708" spans="2:5" x14ac:dyDescent="0.2">
      <c r="B708" s="8"/>
      <c r="C708" s="8"/>
      <c r="D708" s="8"/>
      <c r="E708" s="8"/>
    </row>
    <row r="709" spans="2:5" x14ac:dyDescent="0.2">
      <c r="B709" s="8"/>
      <c r="C709" s="8"/>
      <c r="D709" s="8"/>
      <c r="E709" s="8"/>
    </row>
    <row r="710" spans="2:5" x14ac:dyDescent="0.2">
      <c r="B710" s="8"/>
      <c r="C710" s="8"/>
      <c r="D710" s="8"/>
      <c r="E710" s="8"/>
    </row>
    <row r="711" spans="2:5" x14ac:dyDescent="0.2">
      <c r="B711" s="8"/>
      <c r="C711" s="8"/>
      <c r="D711" s="8"/>
      <c r="E711" s="8"/>
    </row>
    <row r="712" spans="2:5" x14ac:dyDescent="0.2">
      <c r="B712" s="8"/>
      <c r="C712" s="8"/>
      <c r="D712" s="8"/>
      <c r="E712" s="8"/>
    </row>
    <row r="713" spans="2:5" x14ac:dyDescent="0.2">
      <c r="B713" s="8"/>
      <c r="C713" s="8"/>
      <c r="D713" s="8"/>
      <c r="E713" s="8"/>
    </row>
    <row r="714" spans="2:5" x14ac:dyDescent="0.2">
      <c r="B714" s="8"/>
      <c r="C714" s="8"/>
      <c r="D714" s="8"/>
      <c r="E714" s="8"/>
    </row>
    <row r="715" spans="2:5" x14ac:dyDescent="0.2">
      <c r="B715" s="8"/>
      <c r="C715" s="8"/>
      <c r="D715" s="8"/>
      <c r="E715" s="8"/>
    </row>
    <row r="716" spans="2:5" x14ac:dyDescent="0.2">
      <c r="B716" s="8"/>
      <c r="C716" s="8"/>
      <c r="D716" s="8"/>
      <c r="E716" s="8"/>
    </row>
    <row r="717" spans="2:5" x14ac:dyDescent="0.2">
      <c r="B717" s="8"/>
      <c r="C717" s="8"/>
      <c r="D717" s="8"/>
      <c r="E717" s="8"/>
    </row>
    <row r="718" spans="2:5" x14ac:dyDescent="0.2">
      <c r="B718" s="8"/>
      <c r="C718" s="8"/>
      <c r="D718" s="8"/>
      <c r="E718" s="8"/>
    </row>
    <row r="719" spans="2:5" x14ac:dyDescent="0.2">
      <c r="B719" s="8"/>
      <c r="C719" s="8"/>
      <c r="D719" s="8"/>
      <c r="E719" s="8"/>
    </row>
    <row r="720" spans="2:5" x14ac:dyDescent="0.2">
      <c r="B720" s="8"/>
      <c r="C720" s="8"/>
      <c r="D720" s="8"/>
      <c r="E720" s="8"/>
    </row>
    <row r="721" spans="2:5" x14ac:dyDescent="0.2">
      <c r="B721" s="8"/>
      <c r="C721" s="8"/>
      <c r="D721" s="8"/>
      <c r="E721" s="8"/>
    </row>
    <row r="722" spans="2:5" x14ac:dyDescent="0.2">
      <c r="B722" s="8"/>
      <c r="C722" s="8"/>
      <c r="D722" s="8"/>
      <c r="E722" s="8"/>
    </row>
    <row r="723" spans="2:5" x14ac:dyDescent="0.2">
      <c r="B723" s="8"/>
      <c r="C723" s="8"/>
      <c r="D723" s="8"/>
      <c r="E723" s="8"/>
    </row>
    <row r="724" spans="2:5" x14ac:dyDescent="0.2">
      <c r="B724" s="8"/>
      <c r="C724" s="8"/>
      <c r="D724" s="8"/>
      <c r="E724" s="8"/>
    </row>
    <row r="725" spans="2:5" x14ac:dyDescent="0.2">
      <c r="B725" s="8"/>
      <c r="C725" s="8"/>
      <c r="D725" s="8"/>
      <c r="E725" s="8"/>
    </row>
    <row r="726" spans="2:5" x14ac:dyDescent="0.2">
      <c r="B726" s="8"/>
      <c r="C726" s="8"/>
      <c r="D726" s="8"/>
      <c r="E726" s="8"/>
    </row>
    <row r="727" spans="2:5" x14ac:dyDescent="0.2">
      <c r="B727" s="8"/>
      <c r="C727" s="8"/>
      <c r="D727" s="8"/>
      <c r="E727" s="8"/>
    </row>
    <row r="728" spans="2:5" x14ac:dyDescent="0.2">
      <c r="B728" s="8"/>
      <c r="C728" s="8"/>
      <c r="D728" s="8"/>
      <c r="E728" s="8"/>
    </row>
    <row r="729" spans="2:5" x14ac:dyDescent="0.2">
      <c r="B729" s="8"/>
      <c r="C729" s="8"/>
      <c r="D729" s="8"/>
      <c r="E729" s="8"/>
    </row>
    <row r="730" spans="2:5" x14ac:dyDescent="0.2">
      <c r="B730" s="8"/>
      <c r="C730" s="8"/>
      <c r="D730" s="8"/>
      <c r="E730" s="8"/>
    </row>
    <row r="731" spans="2:5" x14ac:dyDescent="0.2">
      <c r="B731" s="8"/>
      <c r="C731" s="8"/>
      <c r="D731" s="8"/>
      <c r="E731" s="8"/>
    </row>
    <row r="732" spans="2:5" x14ac:dyDescent="0.2">
      <c r="B732" s="8"/>
      <c r="C732" s="8"/>
      <c r="D732" s="8"/>
      <c r="E732" s="8"/>
    </row>
    <row r="733" spans="2:5" x14ac:dyDescent="0.2">
      <c r="B733" s="8"/>
      <c r="C733" s="8"/>
      <c r="D733" s="8"/>
      <c r="E733" s="8"/>
    </row>
    <row r="734" spans="2:5" x14ac:dyDescent="0.2">
      <c r="B734" s="8"/>
      <c r="C734" s="8"/>
      <c r="D734" s="8"/>
      <c r="E734" s="8"/>
    </row>
    <row r="735" spans="2:5" x14ac:dyDescent="0.2">
      <c r="B735" s="8"/>
      <c r="C735" s="8"/>
      <c r="D735" s="8"/>
      <c r="E735" s="8"/>
    </row>
    <row r="736" spans="2:5" x14ac:dyDescent="0.2">
      <c r="B736" s="8"/>
      <c r="C736" s="8"/>
      <c r="D736" s="8"/>
      <c r="E736" s="8"/>
    </row>
    <row r="737" spans="2:5" x14ac:dyDescent="0.2">
      <c r="B737" s="8"/>
      <c r="C737" s="8"/>
      <c r="D737" s="8"/>
      <c r="E737" s="8"/>
    </row>
    <row r="738" spans="2:5" x14ac:dyDescent="0.2">
      <c r="B738" s="8"/>
      <c r="C738" s="8"/>
      <c r="D738" s="8"/>
      <c r="E738" s="8"/>
    </row>
    <row r="739" spans="2:5" x14ac:dyDescent="0.2">
      <c r="B739" s="8"/>
      <c r="C739" s="8"/>
      <c r="D739" s="8"/>
      <c r="E739" s="8"/>
    </row>
    <row r="740" spans="2:5" x14ac:dyDescent="0.2">
      <c r="B740" s="8"/>
      <c r="C740" s="8"/>
      <c r="D740" s="8"/>
      <c r="E740" s="8"/>
    </row>
    <row r="741" spans="2:5" x14ac:dyDescent="0.2">
      <c r="B741" s="8"/>
      <c r="C741" s="8"/>
      <c r="D741" s="8"/>
      <c r="E741" s="8"/>
    </row>
    <row r="742" spans="2:5" x14ac:dyDescent="0.2">
      <c r="B742" s="8"/>
      <c r="C742" s="8"/>
      <c r="D742" s="8"/>
      <c r="E742" s="8"/>
    </row>
    <row r="743" spans="2:5" x14ac:dyDescent="0.2">
      <c r="B743" s="8"/>
      <c r="C743" s="8"/>
      <c r="D743" s="8"/>
      <c r="E743" s="8"/>
    </row>
    <row r="744" spans="2:5" x14ac:dyDescent="0.2">
      <c r="B744" s="8"/>
      <c r="C744" s="8"/>
      <c r="D744" s="8"/>
      <c r="E744" s="8"/>
    </row>
    <row r="745" spans="2:5" x14ac:dyDescent="0.2">
      <c r="B745" s="8"/>
      <c r="C745" s="8"/>
      <c r="D745" s="8"/>
      <c r="E745" s="8"/>
    </row>
    <row r="746" spans="2:5" x14ac:dyDescent="0.2">
      <c r="B746" s="8"/>
      <c r="C746" s="8"/>
      <c r="D746" s="8"/>
      <c r="E746" s="8"/>
    </row>
    <row r="747" spans="2:5" x14ac:dyDescent="0.2">
      <c r="B747" s="8"/>
      <c r="C747" s="8"/>
      <c r="D747" s="8"/>
      <c r="E747" s="8"/>
    </row>
    <row r="748" spans="2:5" x14ac:dyDescent="0.2">
      <c r="B748" s="8"/>
      <c r="C748" s="8"/>
      <c r="D748" s="8"/>
      <c r="E748" s="8"/>
    </row>
    <row r="749" spans="2:5" x14ac:dyDescent="0.2">
      <c r="B749" s="8"/>
      <c r="C749" s="8"/>
      <c r="D749" s="8"/>
      <c r="E749" s="8"/>
    </row>
    <row r="750" spans="2:5" x14ac:dyDescent="0.2">
      <c r="B750" s="8"/>
      <c r="C750" s="8"/>
      <c r="D750" s="8"/>
      <c r="E750" s="8"/>
    </row>
    <row r="751" spans="2:5" x14ac:dyDescent="0.2">
      <c r="B751" s="8"/>
      <c r="C751" s="8"/>
      <c r="D751" s="8"/>
      <c r="E751" s="8"/>
    </row>
    <row r="752" spans="2:5" x14ac:dyDescent="0.2">
      <c r="B752" s="8"/>
      <c r="C752" s="8"/>
      <c r="D752" s="8"/>
      <c r="E752" s="8"/>
    </row>
    <row r="753" spans="2:5" x14ac:dyDescent="0.2">
      <c r="B753" s="8"/>
      <c r="C753" s="8"/>
      <c r="D753" s="8"/>
      <c r="E753" s="8"/>
    </row>
    <row r="754" spans="2:5" x14ac:dyDescent="0.2">
      <c r="B754" s="8"/>
      <c r="C754" s="8"/>
      <c r="D754" s="8"/>
      <c r="E754" s="8"/>
    </row>
    <row r="755" spans="2:5" x14ac:dyDescent="0.2">
      <c r="B755" s="8"/>
      <c r="C755" s="8"/>
      <c r="D755" s="8"/>
      <c r="E755" s="8"/>
    </row>
    <row r="756" spans="2:5" x14ac:dyDescent="0.2">
      <c r="B756" s="8"/>
      <c r="C756" s="8"/>
      <c r="D756" s="8"/>
      <c r="E756" s="8"/>
    </row>
    <row r="757" spans="2:5" x14ac:dyDescent="0.2">
      <c r="B757" s="8"/>
      <c r="C757" s="8"/>
      <c r="D757" s="8"/>
      <c r="E757" s="8"/>
    </row>
    <row r="758" spans="2:5" x14ac:dyDescent="0.2">
      <c r="B758" s="8"/>
      <c r="C758" s="8"/>
      <c r="D758" s="8"/>
      <c r="E758" s="8"/>
    </row>
    <row r="759" spans="2:5" x14ac:dyDescent="0.2">
      <c r="B759" s="8"/>
      <c r="C759" s="8"/>
      <c r="D759" s="8"/>
      <c r="E759" s="8"/>
    </row>
    <row r="760" spans="2:5" x14ac:dyDescent="0.2">
      <c r="B760" s="8"/>
      <c r="C760" s="8"/>
      <c r="D760" s="8"/>
      <c r="E760" s="8"/>
    </row>
    <row r="761" spans="2:5" x14ac:dyDescent="0.2">
      <c r="B761" s="8"/>
      <c r="C761" s="8"/>
      <c r="D761" s="8"/>
      <c r="E761" s="8"/>
    </row>
    <row r="762" spans="2:5" x14ac:dyDescent="0.2">
      <c r="B762" s="8"/>
      <c r="C762" s="8"/>
      <c r="D762" s="8"/>
      <c r="E762" s="8"/>
    </row>
    <row r="763" spans="2:5" x14ac:dyDescent="0.2">
      <c r="B763" s="8"/>
      <c r="C763" s="8"/>
      <c r="D763" s="8"/>
      <c r="E763" s="8"/>
    </row>
    <row r="764" spans="2:5" x14ac:dyDescent="0.2">
      <c r="B764" s="8"/>
      <c r="C764" s="8"/>
      <c r="D764" s="8"/>
      <c r="E764" s="8"/>
    </row>
    <row r="765" spans="2:5" x14ac:dyDescent="0.2">
      <c r="B765" s="8"/>
      <c r="C765" s="8"/>
      <c r="D765" s="8"/>
      <c r="E765" s="8"/>
    </row>
    <row r="766" spans="2:5" x14ac:dyDescent="0.2">
      <c r="B766" s="8"/>
      <c r="C766" s="8"/>
      <c r="D766" s="8"/>
      <c r="E766" s="8"/>
    </row>
    <row r="767" spans="2:5" x14ac:dyDescent="0.2">
      <c r="B767" s="8"/>
      <c r="C767" s="8"/>
      <c r="D767" s="8"/>
      <c r="E767" s="8"/>
    </row>
    <row r="768" spans="2:5" x14ac:dyDescent="0.2">
      <c r="B768" s="8"/>
      <c r="C768" s="8"/>
      <c r="D768" s="8"/>
      <c r="E768" s="8"/>
    </row>
    <row r="769" spans="2:5" x14ac:dyDescent="0.2">
      <c r="B769" s="8"/>
      <c r="C769" s="8"/>
      <c r="D769" s="8"/>
      <c r="E769" s="8"/>
    </row>
    <row r="770" spans="2:5" x14ac:dyDescent="0.2">
      <c r="B770" s="8"/>
      <c r="C770" s="8"/>
      <c r="D770" s="8"/>
      <c r="E770" s="8"/>
    </row>
    <row r="771" spans="2:5" x14ac:dyDescent="0.2">
      <c r="B771" s="8"/>
      <c r="C771" s="8"/>
      <c r="D771" s="8"/>
      <c r="E771" s="8"/>
    </row>
    <row r="772" spans="2:5" x14ac:dyDescent="0.2">
      <c r="B772" s="8"/>
      <c r="C772" s="8"/>
      <c r="D772" s="8"/>
      <c r="E772" s="8"/>
    </row>
    <row r="773" spans="2:5" x14ac:dyDescent="0.2">
      <c r="B773" s="8"/>
      <c r="C773" s="8"/>
      <c r="D773" s="8"/>
      <c r="E773" s="8"/>
    </row>
    <row r="774" spans="2:5" x14ac:dyDescent="0.2">
      <c r="B774" s="8"/>
      <c r="C774" s="8"/>
      <c r="D774" s="8"/>
      <c r="E774" s="8"/>
    </row>
    <row r="775" spans="2:5" x14ac:dyDescent="0.2">
      <c r="B775" s="8"/>
      <c r="C775" s="8"/>
      <c r="D775" s="8"/>
      <c r="E775" s="8"/>
    </row>
    <row r="776" spans="2:5" x14ac:dyDescent="0.2">
      <c r="B776" s="8"/>
      <c r="C776" s="8"/>
      <c r="D776" s="8"/>
      <c r="E776" s="8"/>
    </row>
    <row r="777" spans="2:5" x14ac:dyDescent="0.2">
      <c r="B777" s="8"/>
      <c r="C777" s="8"/>
      <c r="D777" s="8"/>
      <c r="E777" s="8"/>
    </row>
    <row r="778" spans="2:5" x14ac:dyDescent="0.2">
      <c r="B778" s="8"/>
      <c r="C778" s="8"/>
      <c r="D778" s="8"/>
      <c r="E778" s="8"/>
    </row>
    <row r="779" spans="2:5" x14ac:dyDescent="0.2">
      <c r="B779" s="8"/>
      <c r="C779" s="8"/>
      <c r="D779" s="8"/>
      <c r="E779" s="8"/>
    </row>
    <row r="780" spans="2:5" x14ac:dyDescent="0.2">
      <c r="B780" s="8"/>
      <c r="C780" s="8"/>
      <c r="D780" s="8"/>
      <c r="E780" s="8"/>
    </row>
    <row r="781" spans="2:5" x14ac:dyDescent="0.2">
      <c r="B781" s="8"/>
      <c r="C781" s="8"/>
      <c r="D781" s="8"/>
      <c r="E781" s="8"/>
    </row>
    <row r="782" spans="2:5" x14ac:dyDescent="0.2">
      <c r="B782" s="8"/>
      <c r="C782" s="8"/>
      <c r="D782" s="8"/>
      <c r="E782" s="8"/>
    </row>
    <row r="783" spans="2:5" x14ac:dyDescent="0.2">
      <c r="B783" s="8"/>
      <c r="C783" s="8"/>
      <c r="D783" s="8"/>
      <c r="E783" s="8"/>
    </row>
    <row r="784" spans="2:5" x14ac:dyDescent="0.2">
      <c r="B784" s="8"/>
      <c r="C784" s="8"/>
      <c r="D784" s="8"/>
      <c r="E784" s="8"/>
    </row>
    <row r="785" spans="2:5" x14ac:dyDescent="0.2">
      <c r="B785" s="8"/>
      <c r="C785" s="8"/>
      <c r="D785" s="8"/>
      <c r="E785" s="8"/>
    </row>
    <row r="786" spans="2:5" x14ac:dyDescent="0.2">
      <c r="B786" s="8"/>
      <c r="C786" s="8"/>
      <c r="D786" s="8"/>
      <c r="E786" s="8"/>
    </row>
    <row r="787" spans="2:5" x14ac:dyDescent="0.2">
      <c r="B787" s="8"/>
      <c r="C787" s="8"/>
      <c r="D787" s="8"/>
      <c r="E787" s="8"/>
    </row>
    <row r="788" spans="2:5" x14ac:dyDescent="0.2">
      <c r="B788" s="8"/>
      <c r="C788" s="8"/>
      <c r="D788" s="8"/>
      <c r="E788" s="8"/>
    </row>
    <row r="789" spans="2:5" x14ac:dyDescent="0.2">
      <c r="B789" s="8"/>
      <c r="C789" s="8"/>
      <c r="D789" s="8"/>
      <c r="E789" s="8"/>
    </row>
    <row r="790" spans="2:5" x14ac:dyDescent="0.2">
      <c r="B790" s="8"/>
      <c r="C790" s="8"/>
      <c r="D790" s="8"/>
      <c r="E790" s="8"/>
    </row>
    <row r="791" spans="2:5" x14ac:dyDescent="0.2">
      <c r="B791" s="8"/>
      <c r="C791" s="8"/>
      <c r="D791" s="8"/>
      <c r="E791" s="8"/>
    </row>
    <row r="792" spans="2:5" x14ac:dyDescent="0.2">
      <c r="B792" s="8"/>
      <c r="C792" s="8"/>
      <c r="D792" s="8"/>
      <c r="E792" s="8"/>
    </row>
    <row r="793" spans="2:5" x14ac:dyDescent="0.2">
      <c r="B793" s="8"/>
      <c r="C793" s="8"/>
      <c r="D793" s="8"/>
      <c r="E793" s="8"/>
    </row>
    <row r="794" spans="2:5" x14ac:dyDescent="0.2">
      <c r="B794" s="8"/>
      <c r="C794" s="8"/>
      <c r="D794" s="8"/>
      <c r="E794" s="8"/>
    </row>
    <row r="795" spans="2:5" x14ac:dyDescent="0.2">
      <c r="B795" s="8"/>
      <c r="C795" s="8"/>
      <c r="D795" s="8"/>
      <c r="E795" s="8"/>
    </row>
    <row r="796" spans="2:5" x14ac:dyDescent="0.2">
      <c r="B796" s="8"/>
      <c r="C796" s="8"/>
      <c r="D796" s="8"/>
      <c r="E796" s="8"/>
    </row>
    <row r="797" spans="2:5" x14ac:dyDescent="0.2">
      <c r="B797" s="8"/>
      <c r="C797" s="8"/>
      <c r="D797" s="8"/>
      <c r="E797" s="8"/>
    </row>
    <row r="798" spans="2:5" x14ac:dyDescent="0.2">
      <c r="B798" s="8"/>
      <c r="C798" s="8"/>
      <c r="D798" s="8"/>
      <c r="E798" s="8"/>
    </row>
    <row r="799" spans="2:5" x14ac:dyDescent="0.2">
      <c r="B799" s="8"/>
      <c r="C799" s="8"/>
      <c r="D799" s="8"/>
      <c r="E799" s="8"/>
    </row>
    <row r="800" spans="2:5" x14ac:dyDescent="0.2">
      <c r="B800" s="8"/>
      <c r="C800" s="8"/>
      <c r="D800" s="8"/>
      <c r="E800" s="8"/>
    </row>
    <row r="801" spans="2:5" x14ac:dyDescent="0.2">
      <c r="B801" s="8"/>
      <c r="C801" s="8"/>
      <c r="D801" s="8"/>
      <c r="E801" s="8"/>
    </row>
    <row r="802" spans="2:5" x14ac:dyDescent="0.2">
      <c r="B802" s="8"/>
      <c r="C802" s="8"/>
      <c r="D802" s="8"/>
      <c r="E802" s="8"/>
    </row>
    <row r="803" spans="2:5" x14ac:dyDescent="0.2">
      <c r="B803" s="8"/>
      <c r="C803" s="8"/>
      <c r="D803" s="8"/>
      <c r="E803" s="8"/>
    </row>
    <row r="804" spans="2:5" x14ac:dyDescent="0.2">
      <c r="B804" s="8"/>
      <c r="C804" s="8"/>
      <c r="D804" s="8"/>
      <c r="E804" s="8"/>
    </row>
    <row r="805" spans="2:5" x14ac:dyDescent="0.2">
      <c r="B805" s="8"/>
      <c r="C805" s="8"/>
      <c r="D805" s="8"/>
      <c r="E805" s="8"/>
    </row>
    <row r="806" spans="2:5" x14ac:dyDescent="0.2">
      <c r="B806" s="8"/>
      <c r="C806" s="8"/>
      <c r="D806" s="8"/>
      <c r="E806" s="8"/>
    </row>
    <row r="807" spans="2:5" x14ac:dyDescent="0.2">
      <c r="B807" s="8"/>
      <c r="C807" s="8"/>
      <c r="D807" s="8"/>
      <c r="E807" s="8"/>
    </row>
    <row r="808" spans="2:5" x14ac:dyDescent="0.2">
      <c r="B808" s="8"/>
      <c r="C808" s="8"/>
      <c r="D808" s="8"/>
      <c r="E808" s="8"/>
    </row>
    <row r="809" spans="2:5" x14ac:dyDescent="0.2">
      <c r="B809" s="8"/>
      <c r="C809" s="8"/>
      <c r="D809" s="8"/>
      <c r="E809" s="8"/>
    </row>
    <row r="810" spans="2:5" x14ac:dyDescent="0.2">
      <c r="B810" s="8"/>
      <c r="C810" s="8"/>
      <c r="D810" s="8"/>
      <c r="E810" s="8"/>
    </row>
    <row r="811" spans="2:5" x14ac:dyDescent="0.2">
      <c r="B811" s="8"/>
      <c r="C811" s="8"/>
      <c r="D811" s="8"/>
      <c r="E811" s="8"/>
    </row>
    <row r="812" spans="2:5" x14ac:dyDescent="0.2">
      <c r="B812" s="8"/>
      <c r="C812" s="8"/>
      <c r="D812" s="8"/>
      <c r="E812" s="8"/>
    </row>
    <row r="813" spans="2:5" x14ac:dyDescent="0.2">
      <c r="B813" s="8"/>
      <c r="C813" s="8"/>
      <c r="D813" s="8"/>
      <c r="E813" s="8"/>
    </row>
    <row r="814" spans="2:5" x14ac:dyDescent="0.2">
      <c r="B814" s="8"/>
      <c r="C814" s="8"/>
      <c r="D814" s="8"/>
      <c r="E814" s="8"/>
    </row>
    <row r="815" spans="2:5" x14ac:dyDescent="0.2">
      <c r="B815" s="8"/>
      <c r="C815" s="8"/>
      <c r="D815" s="8"/>
      <c r="E815" s="8"/>
    </row>
    <row r="816" spans="2:5" x14ac:dyDescent="0.2">
      <c r="B816" s="8"/>
      <c r="C816" s="8"/>
      <c r="D816" s="8"/>
      <c r="E816" s="8"/>
    </row>
    <row r="817" spans="2:5" x14ac:dyDescent="0.2">
      <c r="B817" s="8"/>
      <c r="C817" s="8"/>
      <c r="D817" s="8"/>
      <c r="E817" s="8"/>
    </row>
    <row r="818" spans="2:5" x14ac:dyDescent="0.2">
      <c r="B818" s="8"/>
      <c r="C818" s="8"/>
      <c r="D818" s="8"/>
      <c r="E818" s="8"/>
    </row>
    <row r="819" spans="2:5" x14ac:dyDescent="0.2">
      <c r="B819" s="8"/>
      <c r="C819" s="8"/>
      <c r="D819" s="8"/>
      <c r="E819" s="8"/>
    </row>
    <row r="820" spans="2:5" x14ac:dyDescent="0.2">
      <c r="B820" s="8"/>
      <c r="C820" s="8"/>
      <c r="D820" s="8"/>
      <c r="E820" s="8"/>
    </row>
    <row r="821" spans="2:5" x14ac:dyDescent="0.2">
      <c r="B821" s="8"/>
      <c r="C821" s="8"/>
      <c r="D821" s="8"/>
      <c r="E821" s="8"/>
    </row>
    <row r="822" spans="2:5" x14ac:dyDescent="0.2">
      <c r="B822" s="8"/>
      <c r="C822" s="8"/>
      <c r="D822" s="8"/>
      <c r="E822" s="8"/>
    </row>
    <row r="823" spans="2:5" x14ac:dyDescent="0.2">
      <c r="B823" s="8"/>
      <c r="C823" s="8"/>
      <c r="D823" s="8"/>
      <c r="E823" s="8"/>
    </row>
    <row r="824" spans="2:5" x14ac:dyDescent="0.2">
      <c r="B824" s="8"/>
      <c r="C824" s="8"/>
      <c r="D824" s="8"/>
      <c r="E824" s="8"/>
    </row>
    <row r="825" spans="2:5" x14ac:dyDescent="0.2">
      <c r="B825" s="8"/>
      <c r="C825" s="8"/>
      <c r="D825" s="8"/>
      <c r="E825" s="8"/>
    </row>
    <row r="826" spans="2:5" x14ac:dyDescent="0.2">
      <c r="B826" s="8"/>
      <c r="C826" s="8"/>
      <c r="D826" s="8"/>
      <c r="E826" s="8"/>
    </row>
    <row r="827" spans="2:5" x14ac:dyDescent="0.2">
      <c r="B827" s="8"/>
      <c r="C827" s="8"/>
      <c r="D827" s="8"/>
      <c r="E827" s="8"/>
    </row>
    <row r="828" spans="2:5" x14ac:dyDescent="0.2">
      <c r="B828" s="8"/>
      <c r="C828" s="8"/>
      <c r="D828" s="8"/>
      <c r="E828" s="8"/>
    </row>
    <row r="829" spans="2:5" x14ac:dyDescent="0.2">
      <c r="B829" s="8"/>
      <c r="C829" s="8"/>
      <c r="D829" s="8"/>
      <c r="E829" s="8"/>
    </row>
    <row r="830" spans="2:5" x14ac:dyDescent="0.2">
      <c r="B830" s="8"/>
      <c r="C830" s="8"/>
      <c r="D830" s="8"/>
      <c r="E830" s="8"/>
    </row>
    <row r="831" spans="2:5" x14ac:dyDescent="0.2">
      <c r="B831" s="8"/>
      <c r="C831" s="8"/>
      <c r="D831" s="8"/>
      <c r="E831" s="8"/>
    </row>
    <row r="832" spans="2:5" x14ac:dyDescent="0.2">
      <c r="B832" s="8"/>
      <c r="C832" s="8"/>
      <c r="D832" s="8"/>
      <c r="E832" s="8"/>
    </row>
    <row r="833" spans="2:5" x14ac:dyDescent="0.2">
      <c r="B833" s="8"/>
      <c r="C833" s="8"/>
      <c r="D833" s="8"/>
      <c r="E833" s="8"/>
    </row>
    <row r="834" spans="2:5" x14ac:dyDescent="0.2">
      <c r="B834" s="8"/>
      <c r="C834" s="8"/>
      <c r="D834" s="8"/>
      <c r="E834" s="8"/>
    </row>
    <row r="835" spans="2:5" x14ac:dyDescent="0.2">
      <c r="B835" s="8"/>
      <c r="C835" s="8"/>
      <c r="D835" s="8"/>
      <c r="E835" s="8"/>
    </row>
    <row r="836" spans="2:5" x14ac:dyDescent="0.2">
      <c r="B836" s="8"/>
      <c r="C836" s="8"/>
      <c r="D836" s="8"/>
      <c r="E836" s="8"/>
    </row>
    <row r="837" spans="2:5" x14ac:dyDescent="0.2">
      <c r="B837" s="8"/>
      <c r="C837" s="8"/>
      <c r="D837" s="8"/>
      <c r="E837" s="8"/>
    </row>
    <row r="838" spans="2:5" x14ac:dyDescent="0.2">
      <c r="B838" s="8"/>
      <c r="C838" s="8"/>
      <c r="D838" s="8"/>
      <c r="E838" s="8"/>
    </row>
    <row r="839" spans="2:5" x14ac:dyDescent="0.2">
      <c r="B839" s="8"/>
      <c r="C839" s="8"/>
      <c r="D839" s="8"/>
      <c r="E839" s="8"/>
    </row>
    <row r="840" spans="2:5" x14ac:dyDescent="0.2">
      <c r="B840" s="8"/>
      <c r="C840" s="8"/>
      <c r="D840" s="8"/>
      <c r="E840" s="8"/>
    </row>
    <row r="841" spans="2:5" x14ac:dyDescent="0.2">
      <c r="B841" s="8"/>
      <c r="C841" s="8"/>
      <c r="D841" s="8"/>
      <c r="E841" s="8"/>
    </row>
    <row r="842" spans="2:5" x14ac:dyDescent="0.2">
      <c r="B842" s="8"/>
      <c r="C842" s="8"/>
      <c r="D842" s="8"/>
      <c r="E842" s="8"/>
    </row>
    <row r="843" spans="2:5" x14ac:dyDescent="0.2">
      <c r="B843" s="8"/>
      <c r="C843" s="8"/>
      <c r="D843" s="8"/>
      <c r="E843" s="8"/>
    </row>
    <row r="844" spans="2:5" x14ac:dyDescent="0.2">
      <c r="B844" s="8"/>
      <c r="C844" s="8"/>
      <c r="D844" s="8"/>
      <c r="E844" s="8"/>
    </row>
    <row r="845" spans="2:5" x14ac:dyDescent="0.2">
      <c r="B845" s="8"/>
      <c r="C845" s="8"/>
      <c r="D845" s="8"/>
      <c r="E845" s="8"/>
    </row>
    <row r="846" spans="2:5" x14ac:dyDescent="0.2">
      <c r="B846" s="8"/>
      <c r="C846" s="8"/>
      <c r="D846" s="8"/>
      <c r="E846" s="8"/>
    </row>
    <row r="847" spans="2:5" x14ac:dyDescent="0.2">
      <c r="B847" s="8"/>
      <c r="C847" s="8"/>
      <c r="D847" s="8"/>
      <c r="E847" s="8"/>
    </row>
    <row r="848" spans="2:5" x14ac:dyDescent="0.2">
      <c r="B848" s="8"/>
      <c r="C848" s="8"/>
      <c r="D848" s="8"/>
      <c r="E848" s="8"/>
    </row>
    <row r="849" spans="2:5" x14ac:dyDescent="0.2">
      <c r="B849" s="8"/>
      <c r="C849" s="8"/>
      <c r="D849" s="8"/>
      <c r="E849" s="8"/>
    </row>
    <row r="850" spans="2:5" x14ac:dyDescent="0.2">
      <c r="B850" s="8"/>
      <c r="C850" s="8"/>
      <c r="D850" s="8"/>
      <c r="E850" s="8"/>
    </row>
    <row r="851" spans="2:5" x14ac:dyDescent="0.2">
      <c r="B851" s="8"/>
      <c r="C851" s="8"/>
      <c r="D851" s="8"/>
      <c r="E851" s="8"/>
    </row>
    <row r="852" spans="2:5" x14ac:dyDescent="0.2">
      <c r="B852" s="8"/>
      <c r="C852" s="8"/>
      <c r="D852" s="8"/>
      <c r="E852" s="8"/>
    </row>
    <row r="853" spans="2:5" x14ac:dyDescent="0.2">
      <c r="B853" s="8"/>
      <c r="C853" s="8"/>
      <c r="D853" s="8"/>
      <c r="E853" s="8"/>
    </row>
    <row r="854" spans="2:5" x14ac:dyDescent="0.2">
      <c r="B854" s="8"/>
      <c r="C854" s="8"/>
      <c r="D854" s="8"/>
      <c r="E854" s="8"/>
    </row>
    <row r="855" spans="2:5" x14ac:dyDescent="0.2">
      <c r="B855" s="8"/>
      <c r="C855" s="8"/>
      <c r="D855" s="8"/>
      <c r="E855" s="8"/>
    </row>
    <row r="856" spans="2:5" x14ac:dyDescent="0.2">
      <c r="B856" s="8"/>
      <c r="C856" s="8"/>
      <c r="D856" s="8"/>
      <c r="E856" s="8"/>
    </row>
    <row r="857" spans="2:5" x14ac:dyDescent="0.2">
      <c r="B857" s="8"/>
      <c r="C857" s="8"/>
      <c r="D857" s="8"/>
      <c r="E857" s="8"/>
    </row>
    <row r="858" spans="2:5" x14ac:dyDescent="0.2">
      <c r="B858" s="8"/>
      <c r="C858" s="8"/>
      <c r="D858" s="8"/>
      <c r="E858" s="8"/>
    </row>
    <row r="859" spans="2:5" x14ac:dyDescent="0.2">
      <c r="B859" s="8"/>
      <c r="C859" s="8"/>
      <c r="D859" s="8"/>
      <c r="E859" s="8"/>
    </row>
    <row r="860" spans="2:5" x14ac:dyDescent="0.2">
      <c r="B860" s="8"/>
      <c r="C860" s="8"/>
      <c r="D860" s="8"/>
      <c r="E860" s="8"/>
    </row>
    <row r="861" spans="2:5" x14ac:dyDescent="0.2">
      <c r="B861" s="8"/>
      <c r="C861" s="8"/>
      <c r="D861" s="8"/>
      <c r="E861" s="8"/>
    </row>
    <row r="862" spans="2:5" x14ac:dyDescent="0.2">
      <c r="B862" s="8"/>
      <c r="C862" s="8"/>
      <c r="D862" s="8"/>
      <c r="E862" s="8"/>
    </row>
    <row r="863" spans="2:5" x14ac:dyDescent="0.2">
      <c r="B863" s="8"/>
      <c r="C863" s="8"/>
      <c r="D863" s="8"/>
      <c r="E863" s="8"/>
    </row>
    <row r="864" spans="2:5" x14ac:dyDescent="0.2">
      <c r="B864" s="8"/>
      <c r="C864" s="8"/>
      <c r="D864" s="8"/>
      <c r="E864" s="8"/>
    </row>
    <row r="865" spans="2:5" x14ac:dyDescent="0.2">
      <c r="B865" s="8"/>
      <c r="C865" s="8"/>
      <c r="D865" s="8"/>
      <c r="E865" s="8"/>
    </row>
    <row r="866" spans="2:5" x14ac:dyDescent="0.2">
      <c r="B866" s="8"/>
      <c r="C866" s="8"/>
      <c r="D866" s="8"/>
      <c r="E866" s="8"/>
    </row>
    <row r="867" spans="2:5" x14ac:dyDescent="0.2">
      <c r="B867" s="8"/>
      <c r="C867" s="8"/>
      <c r="D867" s="8"/>
      <c r="E867" s="8"/>
    </row>
    <row r="868" spans="2:5" x14ac:dyDescent="0.2">
      <c r="B868" s="8"/>
      <c r="C868" s="8"/>
      <c r="D868" s="8"/>
      <c r="E868" s="8"/>
    </row>
    <row r="869" spans="2:5" x14ac:dyDescent="0.2">
      <c r="B869" s="8"/>
      <c r="C869" s="8"/>
      <c r="D869" s="8"/>
      <c r="E869" s="8"/>
    </row>
    <row r="870" spans="2:5" x14ac:dyDescent="0.2">
      <c r="B870" s="8"/>
      <c r="C870" s="8"/>
      <c r="D870" s="8"/>
      <c r="E870" s="8"/>
    </row>
    <row r="871" spans="2:5" x14ac:dyDescent="0.2">
      <c r="B871" s="8"/>
      <c r="C871" s="8"/>
      <c r="D871" s="8"/>
      <c r="E871" s="8"/>
    </row>
    <row r="872" spans="2:5" x14ac:dyDescent="0.2">
      <c r="B872" s="8"/>
      <c r="C872" s="8"/>
      <c r="D872" s="8"/>
      <c r="E872" s="8"/>
    </row>
    <row r="873" spans="2:5" x14ac:dyDescent="0.2">
      <c r="B873" s="8"/>
      <c r="C873" s="8"/>
      <c r="D873" s="8"/>
      <c r="E873" s="8"/>
    </row>
    <row r="874" spans="2:5" x14ac:dyDescent="0.2">
      <c r="B874" s="8"/>
      <c r="C874" s="8"/>
      <c r="D874" s="8"/>
      <c r="E874" s="8"/>
    </row>
    <row r="875" spans="2:5" x14ac:dyDescent="0.2">
      <c r="B875" s="8"/>
      <c r="C875" s="8"/>
      <c r="D875" s="8"/>
      <c r="E875" s="8"/>
    </row>
    <row r="876" spans="2:5" x14ac:dyDescent="0.2">
      <c r="B876" s="8"/>
      <c r="C876" s="8"/>
      <c r="D876" s="8"/>
      <c r="E876" s="8"/>
    </row>
    <row r="877" spans="2:5" x14ac:dyDescent="0.2">
      <c r="B877" s="8"/>
      <c r="C877" s="8"/>
      <c r="D877" s="8"/>
      <c r="E877" s="8"/>
    </row>
    <row r="878" spans="2:5" x14ac:dyDescent="0.2">
      <c r="B878" s="8"/>
      <c r="C878" s="8"/>
      <c r="D878" s="8"/>
      <c r="E878" s="8"/>
    </row>
    <row r="879" spans="2:5" x14ac:dyDescent="0.2">
      <c r="B879" s="8"/>
      <c r="C879" s="8"/>
      <c r="D879" s="8"/>
      <c r="E879" s="8"/>
    </row>
    <row r="880" spans="2:5" x14ac:dyDescent="0.2">
      <c r="B880" s="8"/>
      <c r="C880" s="8"/>
      <c r="D880" s="8"/>
      <c r="E880" s="8"/>
    </row>
    <row r="881" spans="2:5" x14ac:dyDescent="0.2">
      <c r="B881" s="8"/>
      <c r="C881" s="8"/>
      <c r="D881" s="8"/>
      <c r="E881" s="8"/>
    </row>
    <row r="882" spans="2:5" x14ac:dyDescent="0.2">
      <c r="B882" s="8"/>
      <c r="C882" s="8"/>
      <c r="D882" s="8"/>
      <c r="E882" s="8"/>
    </row>
    <row r="883" spans="2:5" x14ac:dyDescent="0.2">
      <c r="B883" s="8"/>
      <c r="C883" s="8"/>
      <c r="D883" s="8"/>
      <c r="E883" s="8"/>
    </row>
    <row r="884" spans="2:5" x14ac:dyDescent="0.2">
      <c r="B884" s="8"/>
      <c r="C884" s="8"/>
      <c r="D884" s="8"/>
      <c r="E884" s="8"/>
    </row>
    <row r="885" spans="2:5" x14ac:dyDescent="0.2">
      <c r="B885" s="8"/>
      <c r="C885" s="8"/>
      <c r="D885" s="8"/>
      <c r="E885" s="8"/>
    </row>
    <row r="886" spans="2:5" x14ac:dyDescent="0.2">
      <c r="B886" s="8"/>
      <c r="C886" s="8"/>
      <c r="D886" s="8"/>
      <c r="E886" s="8"/>
    </row>
    <row r="887" spans="2:5" x14ac:dyDescent="0.2">
      <c r="B887" s="8"/>
      <c r="C887" s="8"/>
      <c r="D887" s="8"/>
      <c r="E887" s="8"/>
    </row>
    <row r="888" spans="2:5" x14ac:dyDescent="0.2">
      <c r="B888" s="8"/>
      <c r="C888" s="8"/>
      <c r="D888" s="8"/>
      <c r="E888" s="8"/>
    </row>
    <row r="889" spans="2:5" x14ac:dyDescent="0.2">
      <c r="B889" s="8"/>
      <c r="C889" s="8"/>
      <c r="D889" s="8"/>
      <c r="E889" s="8"/>
    </row>
    <row r="890" spans="2:5" x14ac:dyDescent="0.2">
      <c r="B890" s="8"/>
      <c r="C890" s="8"/>
      <c r="D890" s="8"/>
      <c r="E890" s="8"/>
    </row>
    <row r="891" spans="2:5" x14ac:dyDescent="0.2">
      <c r="B891" s="8"/>
      <c r="C891" s="8"/>
      <c r="D891" s="8"/>
      <c r="E891" s="8"/>
    </row>
    <row r="892" spans="2:5" x14ac:dyDescent="0.2">
      <c r="B892" s="8"/>
      <c r="C892" s="8"/>
      <c r="D892" s="8"/>
      <c r="E892" s="8"/>
    </row>
    <row r="893" spans="2:5" x14ac:dyDescent="0.2">
      <c r="B893" s="8"/>
      <c r="C893" s="8"/>
      <c r="D893" s="8"/>
      <c r="E893" s="8"/>
    </row>
    <row r="894" spans="2:5" x14ac:dyDescent="0.2">
      <c r="B894" s="8"/>
      <c r="C894" s="8"/>
      <c r="D894" s="8"/>
      <c r="E894" s="8"/>
    </row>
    <row r="895" spans="2:5" x14ac:dyDescent="0.2">
      <c r="B895" s="8"/>
      <c r="C895" s="8"/>
      <c r="D895" s="8"/>
      <c r="E895" s="8"/>
    </row>
    <row r="896" spans="2:5" x14ac:dyDescent="0.2">
      <c r="B896" s="8"/>
      <c r="C896" s="8"/>
      <c r="D896" s="8"/>
      <c r="E896" s="8"/>
    </row>
    <row r="897" spans="2:5" x14ac:dyDescent="0.2">
      <c r="B897" s="8"/>
      <c r="C897" s="8"/>
      <c r="D897" s="8"/>
      <c r="E897" s="8"/>
    </row>
    <row r="898" spans="2:5" x14ac:dyDescent="0.2">
      <c r="B898" s="8"/>
      <c r="C898" s="8"/>
      <c r="D898" s="8"/>
      <c r="E898" s="8"/>
    </row>
    <row r="899" spans="2:5" x14ac:dyDescent="0.2">
      <c r="B899" s="8"/>
      <c r="C899" s="8"/>
      <c r="D899" s="8"/>
      <c r="E899" s="8"/>
    </row>
    <row r="900" spans="2:5" x14ac:dyDescent="0.2">
      <c r="B900" s="8"/>
      <c r="C900" s="8"/>
      <c r="D900" s="8"/>
      <c r="E900" s="8"/>
    </row>
    <row r="901" spans="2:5" x14ac:dyDescent="0.2">
      <c r="B901" s="8"/>
      <c r="C901" s="8"/>
      <c r="D901" s="8"/>
      <c r="E901" s="8"/>
    </row>
    <row r="902" spans="2:5" x14ac:dyDescent="0.2">
      <c r="B902" s="8"/>
      <c r="C902" s="8"/>
      <c r="D902" s="8"/>
      <c r="E902" s="8"/>
    </row>
    <row r="903" spans="2:5" x14ac:dyDescent="0.2">
      <c r="B903" s="8"/>
      <c r="C903" s="8"/>
      <c r="D903" s="8"/>
      <c r="E903" s="8"/>
    </row>
    <row r="904" spans="2:5" x14ac:dyDescent="0.2">
      <c r="B904" s="8"/>
      <c r="C904" s="8"/>
      <c r="D904" s="8"/>
      <c r="E904" s="8"/>
    </row>
    <row r="905" spans="2:5" x14ac:dyDescent="0.2">
      <c r="B905" s="8"/>
      <c r="C905" s="8"/>
      <c r="D905" s="8"/>
      <c r="E905" s="8"/>
    </row>
    <row r="906" spans="2:5" x14ac:dyDescent="0.2">
      <c r="B906" s="8"/>
      <c r="C906" s="8"/>
      <c r="D906" s="8"/>
      <c r="E906" s="8"/>
    </row>
    <row r="907" spans="2:5" x14ac:dyDescent="0.2">
      <c r="B907" s="8"/>
      <c r="C907" s="8"/>
      <c r="D907" s="8"/>
      <c r="E907" s="8"/>
    </row>
    <row r="908" spans="2:5" x14ac:dyDescent="0.2">
      <c r="B908" s="8"/>
      <c r="C908" s="8"/>
      <c r="D908" s="8"/>
      <c r="E908" s="8"/>
    </row>
    <row r="909" spans="2:5" x14ac:dyDescent="0.2">
      <c r="B909" s="8"/>
      <c r="C909" s="8"/>
      <c r="D909" s="8"/>
      <c r="E909" s="8"/>
    </row>
    <row r="910" spans="2:5" x14ac:dyDescent="0.2">
      <c r="B910" s="8"/>
      <c r="C910" s="8"/>
      <c r="D910" s="8"/>
      <c r="E910" s="8"/>
    </row>
    <row r="911" spans="2:5" x14ac:dyDescent="0.2">
      <c r="B911" s="8"/>
      <c r="C911" s="8"/>
      <c r="D911" s="8"/>
      <c r="E911" s="8"/>
    </row>
    <row r="912" spans="2:5" x14ac:dyDescent="0.2">
      <c r="B912" s="8"/>
      <c r="C912" s="8"/>
      <c r="D912" s="8"/>
      <c r="E912" s="8"/>
    </row>
    <row r="913" spans="2:5" x14ac:dyDescent="0.2">
      <c r="B913" s="8"/>
      <c r="C913" s="8"/>
      <c r="D913" s="8"/>
      <c r="E913" s="8"/>
    </row>
    <row r="914" spans="2:5" x14ac:dyDescent="0.2">
      <c r="B914" s="8"/>
      <c r="C914" s="8"/>
      <c r="D914" s="8"/>
      <c r="E914" s="8"/>
    </row>
    <row r="915" spans="2:5" x14ac:dyDescent="0.2">
      <c r="B915" s="8"/>
      <c r="C915" s="8"/>
      <c r="D915" s="8"/>
      <c r="E915" s="8"/>
    </row>
    <row r="916" spans="2:5" x14ac:dyDescent="0.2">
      <c r="B916" s="8"/>
      <c r="C916" s="8"/>
      <c r="D916" s="8"/>
      <c r="E916" s="8"/>
    </row>
    <row r="917" spans="2:5" x14ac:dyDescent="0.2">
      <c r="B917" s="8"/>
      <c r="C917" s="8"/>
      <c r="D917" s="8"/>
      <c r="E917" s="8"/>
    </row>
    <row r="918" spans="2:5" x14ac:dyDescent="0.2">
      <c r="B918" s="8"/>
      <c r="C918" s="8"/>
      <c r="D918" s="8"/>
      <c r="E918" s="8"/>
    </row>
    <row r="919" spans="2:5" x14ac:dyDescent="0.2">
      <c r="B919" s="8"/>
      <c r="C919" s="8"/>
      <c r="D919" s="8"/>
      <c r="E919" s="8"/>
    </row>
    <row r="920" spans="2:5" x14ac:dyDescent="0.2">
      <c r="B920" s="8"/>
      <c r="C920" s="8"/>
      <c r="D920" s="8"/>
      <c r="E920" s="8"/>
    </row>
    <row r="921" spans="2:5" x14ac:dyDescent="0.2">
      <c r="B921" s="8"/>
      <c r="C921" s="8"/>
      <c r="D921" s="8"/>
      <c r="E921" s="8"/>
    </row>
    <row r="922" spans="2:5" x14ac:dyDescent="0.2">
      <c r="B922" s="8"/>
      <c r="C922" s="8"/>
      <c r="D922" s="8"/>
      <c r="E922" s="8"/>
    </row>
    <row r="923" spans="2:5" x14ac:dyDescent="0.2">
      <c r="B923" s="8"/>
      <c r="C923" s="8"/>
      <c r="D923" s="8"/>
      <c r="E923" s="8"/>
    </row>
    <row r="924" spans="2:5" x14ac:dyDescent="0.2">
      <c r="B924" s="8"/>
      <c r="C924" s="8"/>
      <c r="D924" s="8"/>
      <c r="E924" s="8"/>
    </row>
    <row r="925" spans="2:5" x14ac:dyDescent="0.2">
      <c r="B925" s="8"/>
      <c r="C925" s="8"/>
      <c r="D925" s="8"/>
      <c r="E925" s="8"/>
    </row>
    <row r="926" spans="2:5" x14ac:dyDescent="0.2">
      <c r="B926" s="8"/>
      <c r="C926" s="8"/>
      <c r="D926" s="8"/>
      <c r="E926" s="8"/>
    </row>
    <row r="927" spans="2:5" x14ac:dyDescent="0.2">
      <c r="B927" s="8"/>
      <c r="C927" s="8"/>
      <c r="D927" s="8"/>
      <c r="E927" s="8"/>
    </row>
    <row r="928" spans="2:5" x14ac:dyDescent="0.2">
      <c r="B928" s="8"/>
      <c r="C928" s="8"/>
      <c r="D928" s="8"/>
      <c r="E928" s="8"/>
    </row>
    <row r="929" spans="2:5" x14ac:dyDescent="0.2">
      <c r="B929" s="8"/>
      <c r="C929" s="8"/>
      <c r="D929" s="8"/>
      <c r="E929" s="8"/>
    </row>
    <row r="930" spans="2:5" x14ac:dyDescent="0.2">
      <c r="B930" s="8"/>
      <c r="C930" s="8"/>
      <c r="D930" s="8"/>
      <c r="E930" s="8"/>
    </row>
    <row r="931" spans="2:5" x14ac:dyDescent="0.2">
      <c r="B931" s="8"/>
      <c r="C931" s="8"/>
      <c r="D931" s="8"/>
      <c r="E931" s="8"/>
    </row>
    <row r="932" spans="2:5" x14ac:dyDescent="0.2">
      <c r="B932" s="8"/>
      <c r="C932" s="8"/>
      <c r="D932" s="8"/>
      <c r="E932" s="8"/>
    </row>
    <row r="933" spans="2:5" x14ac:dyDescent="0.2">
      <c r="B933" s="8"/>
      <c r="C933" s="8"/>
      <c r="D933" s="8"/>
      <c r="E933" s="8"/>
    </row>
    <row r="934" spans="2:5" x14ac:dyDescent="0.2">
      <c r="B934" s="8"/>
      <c r="C934" s="8"/>
      <c r="D934" s="8"/>
      <c r="E934" s="8"/>
    </row>
    <row r="935" spans="2:5" x14ac:dyDescent="0.2">
      <c r="B935" s="8"/>
      <c r="C935" s="8"/>
      <c r="D935" s="8"/>
      <c r="E935" s="8"/>
    </row>
    <row r="936" spans="2:5" x14ac:dyDescent="0.2">
      <c r="B936" s="8"/>
      <c r="C936" s="8"/>
      <c r="D936" s="8"/>
      <c r="E936" s="8"/>
    </row>
    <row r="937" spans="2:5" x14ac:dyDescent="0.2">
      <c r="B937" s="8"/>
      <c r="C937" s="8"/>
      <c r="D937" s="8"/>
      <c r="E937" s="8"/>
    </row>
    <row r="938" spans="2:5" x14ac:dyDescent="0.2">
      <c r="B938" s="8"/>
      <c r="C938" s="8"/>
      <c r="D938" s="8"/>
      <c r="E938" s="8"/>
    </row>
    <row r="939" spans="2:5" x14ac:dyDescent="0.2">
      <c r="B939" s="8"/>
      <c r="C939" s="8"/>
      <c r="D939" s="8"/>
      <c r="E939" s="8"/>
    </row>
    <row r="940" spans="2:5" x14ac:dyDescent="0.2">
      <c r="B940" s="8"/>
      <c r="C940" s="8"/>
      <c r="D940" s="8"/>
      <c r="E940" s="8"/>
    </row>
    <row r="941" spans="2:5" x14ac:dyDescent="0.2">
      <c r="B941" s="8"/>
      <c r="C941" s="8"/>
      <c r="D941" s="8"/>
      <c r="E941" s="8"/>
    </row>
    <row r="942" spans="2:5" x14ac:dyDescent="0.2">
      <c r="B942" s="8"/>
      <c r="C942" s="8"/>
      <c r="D942" s="8"/>
      <c r="E942" s="8"/>
    </row>
    <row r="943" spans="2:5" x14ac:dyDescent="0.2">
      <c r="B943" s="8"/>
      <c r="C943" s="8"/>
      <c r="D943" s="8"/>
      <c r="E943" s="8"/>
    </row>
    <row r="944" spans="2:5" x14ac:dyDescent="0.2">
      <c r="B944" s="8"/>
      <c r="C944" s="8"/>
      <c r="D944" s="8"/>
      <c r="E944" s="8"/>
    </row>
    <row r="945" spans="2:5" x14ac:dyDescent="0.2">
      <c r="B945" s="8"/>
      <c r="C945" s="8"/>
      <c r="D945" s="8"/>
      <c r="E945" s="8"/>
    </row>
    <row r="946" spans="2:5" x14ac:dyDescent="0.2">
      <c r="B946" s="8"/>
      <c r="C946" s="8"/>
      <c r="D946" s="8"/>
      <c r="E946" s="8"/>
    </row>
    <row r="947" spans="2:5" x14ac:dyDescent="0.2">
      <c r="B947" s="8"/>
      <c r="C947" s="8"/>
      <c r="D947" s="8"/>
      <c r="E947" s="8"/>
    </row>
    <row r="948" spans="2:5" x14ac:dyDescent="0.2">
      <c r="B948" s="8"/>
      <c r="C948" s="8"/>
      <c r="D948" s="8"/>
      <c r="E948" s="8"/>
    </row>
    <row r="949" spans="2:5" x14ac:dyDescent="0.2">
      <c r="B949" s="8"/>
      <c r="C949" s="8"/>
      <c r="D949" s="8"/>
      <c r="E949" s="8"/>
    </row>
    <row r="950" spans="2:5" x14ac:dyDescent="0.2">
      <c r="B950" s="8"/>
      <c r="C950" s="8"/>
      <c r="D950" s="8"/>
      <c r="E950" s="8"/>
    </row>
    <row r="951" spans="2:5" x14ac:dyDescent="0.2">
      <c r="B951" s="8"/>
      <c r="C951" s="8"/>
      <c r="D951" s="8"/>
      <c r="E951" s="8"/>
    </row>
    <row r="952" spans="2:5" x14ac:dyDescent="0.2">
      <c r="B952" s="8"/>
      <c r="C952" s="8"/>
      <c r="D952" s="8"/>
      <c r="E952" s="8"/>
    </row>
    <row r="953" spans="2:5" x14ac:dyDescent="0.2">
      <c r="B953" s="8"/>
      <c r="C953" s="8"/>
      <c r="D953" s="8"/>
      <c r="E953" s="8"/>
    </row>
    <row r="954" spans="2:5" x14ac:dyDescent="0.2">
      <c r="B954" s="8"/>
      <c r="C954" s="8"/>
      <c r="D954" s="8"/>
      <c r="E954" s="8"/>
    </row>
    <row r="955" spans="2:5" x14ac:dyDescent="0.2">
      <c r="B955" s="8"/>
      <c r="C955" s="8"/>
      <c r="D955" s="8"/>
      <c r="E955" s="8"/>
    </row>
    <row r="956" spans="2:5" x14ac:dyDescent="0.2">
      <c r="B956" s="8"/>
      <c r="C956" s="8"/>
      <c r="D956" s="8"/>
      <c r="E956" s="8"/>
    </row>
    <row r="957" spans="2:5" x14ac:dyDescent="0.2">
      <c r="B957" s="8"/>
      <c r="C957" s="8"/>
      <c r="D957" s="8"/>
      <c r="E957" s="8"/>
    </row>
    <row r="958" spans="2:5" x14ac:dyDescent="0.2">
      <c r="B958" s="8"/>
      <c r="C958" s="8"/>
      <c r="D958" s="8"/>
      <c r="E958" s="8"/>
    </row>
    <row r="959" spans="2:5" x14ac:dyDescent="0.2">
      <c r="B959" s="8"/>
      <c r="C959" s="8"/>
      <c r="D959" s="8"/>
      <c r="E959" s="8"/>
    </row>
    <row r="960" spans="2:5" x14ac:dyDescent="0.2">
      <c r="B960" s="8"/>
      <c r="C960" s="8"/>
      <c r="D960" s="8"/>
      <c r="E960" s="8"/>
    </row>
    <row r="961" spans="2:5" x14ac:dyDescent="0.2">
      <c r="B961" s="8"/>
      <c r="C961" s="8"/>
      <c r="D961" s="8"/>
      <c r="E961" s="8"/>
    </row>
    <row r="962" spans="2:5" x14ac:dyDescent="0.2">
      <c r="B962" s="8"/>
      <c r="C962" s="8"/>
      <c r="D962" s="8"/>
      <c r="E962" s="8"/>
    </row>
    <row r="963" spans="2:5" x14ac:dyDescent="0.2">
      <c r="B963" s="8"/>
      <c r="C963" s="8"/>
      <c r="D963" s="8"/>
      <c r="E963" s="8"/>
    </row>
    <row r="964" spans="2:5" x14ac:dyDescent="0.2">
      <c r="B964" s="8"/>
      <c r="C964" s="8"/>
      <c r="D964" s="8"/>
      <c r="E964" s="8"/>
    </row>
    <row r="965" spans="2:5" x14ac:dyDescent="0.2">
      <c r="B965" s="8"/>
      <c r="C965" s="8"/>
      <c r="D965" s="8"/>
      <c r="E965" s="8"/>
    </row>
    <row r="966" spans="2:5" x14ac:dyDescent="0.2">
      <c r="B966" s="8"/>
      <c r="C966" s="8"/>
      <c r="D966" s="8"/>
      <c r="E966" s="8"/>
    </row>
    <row r="967" spans="2:5" x14ac:dyDescent="0.2">
      <c r="B967" s="8"/>
      <c r="C967" s="8"/>
      <c r="D967" s="8"/>
      <c r="E967" s="8"/>
    </row>
    <row r="968" spans="2:5" x14ac:dyDescent="0.2">
      <c r="B968" s="8"/>
      <c r="C968" s="8"/>
      <c r="D968" s="8"/>
      <c r="E968" s="8"/>
    </row>
    <row r="969" spans="2:5" x14ac:dyDescent="0.2">
      <c r="B969" s="8"/>
      <c r="C969" s="8"/>
      <c r="D969" s="8"/>
      <c r="E969" s="8"/>
    </row>
    <row r="970" spans="2:5" x14ac:dyDescent="0.2">
      <c r="B970" s="8"/>
      <c r="C970" s="8"/>
      <c r="D970" s="8"/>
      <c r="E970" s="8"/>
    </row>
    <row r="971" spans="2:5" x14ac:dyDescent="0.2">
      <c r="B971" s="8"/>
      <c r="C971" s="8"/>
      <c r="D971" s="8"/>
      <c r="E971" s="8"/>
    </row>
    <row r="972" spans="2:5" x14ac:dyDescent="0.2">
      <c r="B972" s="8"/>
      <c r="C972" s="8"/>
      <c r="D972" s="8"/>
      <c r="E972" s="8"/>
    </row>
    <row r="973" spans="2:5" x14ac:dyDescent="0.2">
      <c r="B973" s="8"/>
      <c r="C973" s="8"/>
      <c r="D973" s="8"/>
      <c r="E973" s="8"/>
    </row>
    <row r="974" spans="2:5" x14ac:dyDescent="0.2">
      <c r="B974" s="8"/>
      <c r="C974" s="8"/>
      <c r="D974" s="8"/>
      <c r="E974" s="8"/>
    </row>
    <row r="975" spans="2:5" x14ac:dyDescent="0.2">
      <c r="B975" s="8"/>
      <c r="C975" s="8"/>
      <c r="D975" s="8"/>
      <c r="E975" s="8"/>
    </row>
    <row r="976" spans="2:5" x14ac:dyDescent="0.2">
      <c r="B976" s="8"/>
      <c r="C976" s="8"/>
      <c r="D976" s="8"/>
      <c r="E976" s="8"/>
    </row>
    <row r="977" spans="2:5" x14ac:dyDescent="0.2">
      <c r="B977" s="8"/>
      <c r="C977" s="8"/>
      <c r="D977" s="8"/>
      <c r="E977" s="8"/>
    </row>
    <row r="978" spans="2:5" x14ac:dyDescent="0.2">
      <c r="B978" s="8"/>
      <c r="C978" s="8"/>
      <c r="D978" s="8"/>
      <c r="E978" s="8"/>
    </row>
    <row r="979" spans="2:5" x14ac:dyDescent="0.2">
      <c r="B979" s="8"/>
      <c r="C979" s="8"/>
      <c r="D979" s="8"/>
      <c r="E979" s="8"/>
    </row>
    <row r="980" spans="2:5" x14ac:dyDescent="0.2">
      <c r="B980" s="8"/>
      <c r="C980" s="8"/>
      <c r="D980" s="8"/>
      <c r="E980" s="8"/>
    </row>
    <row r="981" spans="2:5" x14ac:dyDescent="0.2">
      <c r="B981" s="8"/>
      <c r="C981" s="8"/>
      <c r="D981" s="8"/>
      <c r="E981" s="8"/>
    </row>
    <row r="982" spans="2:5" x14ac:dyDescent="0.2">
      <c r="B982" s="8"/>
      <c r="C982" s="8"/>
      <c r="D982" s="8"/>
      <c r="E982" s="8"/>
    </row>
    <row r="983" spans="2:5" x14ac:dyDescent="0.2">
      <c r="B983" s="8"/>
      <c r="C983" s="8"/>
      <c r="D983" s="8"/>
      <c r="E983" s="8"/>
    </row>
    <row r="984" spans="2:5" x14ac:dyDescent="0.2">
      <c r="B984" s="8"/>
      <c r="C984" s="8"/>
      <c r="D984" s="8"/>
      <c r="E984" s="8"/>
    </row>
    <row r="985" spans="2:5" x14ac:dyDescent="0.2">
      <c r="B985" s="8"/>
      <c r="C985" s="8"/>
      <c r="D985" s="8"/>
      <c r="E985" s="8"/>
    </row>
    <row r="986" spans="2:5" x14ac:dyDescent="0.2">
      <c r="B986" s="8"/>
      <c r="C986" s="8"/>
      <c r="D986" s="8"/>
      <c r="E986" s="8"/>
    </row>
    <row r="987" spans="2:5" x14ac:dyDescent="0.2">
      <c r="B987" s="8"/>
      <c r="C987" s="8"/>
      <c r="D987" s="8"/>
      <c r="E987" s="8"/>
    </row>
    <row r="988" spans="2:5" x14ac:dyDescent="0.2">
      <c r="B988" s="8"/>
      <c r="C988" s="8"/>
      <c r="D988" s="8"/>
      <c r="E988" s="8"/>
    </row>
    <row r="989" spans="2:5" x14ac:dyDescent="0.2">
      <c r="B989" s="8"/>
      <c r="C989" s="8"/>
      <c r="D989" s="8"/>
      <c r="E989" s="8"/>
    </row>
    <row r="990" spans="2:5" x14ac:dyDescent="0.2">
      <c r="B990" s="8"/>
      <c r="C990" s="8"/>
      <c r="D990" s="8"/>
      <c r="E990" s="8"/>
    </row>
    <row r="991" spans="2:5" x14ac:dyDescent="0.2">
      <c r="B991" s="8"/>
      <c r="C991" s="8"/>
      <c r="D991" s="8"/>
      <c r="E991" s="8"/>
    </row>
    <row r="992" spans="2:5" x14ac:dyDescent="0.2">
      <c r="B992" s="8"/>
      <c r="C992" s="8"/>
      <c r="D992" s="8"/>
      <c r="E992" s="8"/>
    </row>
    <row r="993" spans="2:5" x14ac:dyDescent="0.2">
      <c r="B993" s="8"/>
      <c r="C993" s="8"/>
      <c r="D993" s="8"/>
      <c r="E993" s="8"/>
    </row>
    <row r="994" spans="2:5" x14ac:dyDescent="0.2">
      <c r="B994" s="8"/>
      <c r="C994" s="8"/>
      <c r="D994" s="8"/>
      <c r="E994" s="8"/>
    </row>
    <row r="995" spans="2:5" x14ac:dyDescent="0.2">
      <c r="B995" s="8"/>
      <c r="C995" s="8"/>
      <c r="D995" s="8"/>
      <c r="E995" s="8"/>
    </row>
    <row r="996" spans="2:5" x14ac:dyDescent="0.2">
      <c r="B996" s="8"/>
      <c r="C996" s="8"/>
      <c r="D996" s="8"/>
      <c r="E996" s="8"/>
    </row>
    <row r="997" spans="2:5" x14ac:dyDescent="0.2">
      <c r="B997" s="8"/>
      <c r="C997" s="8"/>
      <c r="D997" s="8"/>
      <c r="E997" s="8"/>
    </row>
    <row r="998" spans="2:5" x14ac:dyDescent="0.2">
      <c r="B998" s="8"/>
      <c r="C998" s="8"/>
      <c r="D998" s="8"/>
      <c r="E998" s="8"/>
    </row>
    <row r="999" spans="2:5" x14ac:dyDescent="0.2">
      <c r="B999" s="8"/>
      <c r="C999" s="8"/>
      <c r="D999" s="8"/>
      <c r="E999" s="8"/>
    </row>
    <row r="1000" spans="2:5" x14ac:dyDescent="0.2">
      <c r="B1000" s="8"/>
      <c r="C1000" s="8"/>
      <c r="D1000" s="8"/>
      <c r="E1000" s="8"/>
    </row>
    <row r="1001" spans="2:5" x14ac:dyDescent="0.2">
      <c r="B1001" s="8"/>
      <c r="C1001" s="8"/>
      <c r="D1001" s="8"/>
      <c r="E1001" s="8"/>
    </row>
    <row r="1002" spans="2:5" x14ac:dyDescent="0.2">
      <c r="B1002" s="8"/>
      <c r="C1002" s="8"/>
      <c r="D1002" s="8"/>
      <c r="E1002" s="8"/>
    </row>
    <row r="1003" spans="2:5" x14ac:dyDescent="0.2">
      <c r="B1003" s="8"/>
      <c r="C1003" s="8"/>
      <c r="D1003" s="8"/>
      <c r="E1003" s="8"/>
    </row>
    <row r="1004" spans="2:5" x14ac:dyDescent="0.2">
      <c r="B1004" s="8"/>
      <c r="C1004" s="8"/>
      <c r="D1004" s="8"/>
      <c r="E1004" s="8"/>
    </row>
    <row r="1005" spans="2:5" x14ac:dyDescent="0.2">
      <c r="B1005" s="8"/>
      <c r="C1005" s="8"/>
      <c r="D1005" s="8"/>
      <c r="E1005" s="8"/>
    </row>
    <row r="1006" spans="2:5" x14ac:dyDescent="0.2">
      <c r="B1006" s="8"/>
      <c r="C1006" s="8"/>
      <c r="D1006" s="8"/>
      <c r="E1006" s="8"/>
    </row>
    <row r="1007" spans="2:5" x14ac:dyDescent="0.2">
      <c r="B1007" s="8"/>
      <c r="C1007" s="8"/>
      <c r="D1007" s="8"/>
      <c r="E1007" s="8"/>
    </row>
    <row r="1008" spans="2:5" x14ac:dyDescent="0.2">
      <c r="B1008" s="8"/>
      <c r="C1008" s="8"/>
      <c r="D1008" s="8"/>
      <c r="E1008" s="8"/>
    </row>
    <row r="1009" spans="2:5" x14ac:dyDescent="0.2">
      <c r="B1009" s="8"/>
      <c r="C1009" s="8"/>
      <c r="D1009" s="8"/>
      <c r="E1009" s="8"/>
    </row>
    <row r="1010" spans="2:5" x14ac:dyDescent="0.2">
      <c r="B1010" s="8"/>
      <c r="C1010" s="8"/>
      <c r="D1010" s="8"/>
      <c r="E1010" s="8"/>
    </row>
    <row r="1011" spans="2:5" x14ac:dyDescent="0.2">
      <c r="B1011" s="8"/>
      <c r="C1011" s="8"/>
      <c r="D1011" s="8"/>
      <c r="E1011" s="8"/>
    </row>
    <row r="1012" spans="2:5" x14ac:dyDescent="0.2">
      <c r="B1012" s="8"/>
      <c r="C1012" s="8"/>
      <c r="D1012" s="8"/>
      <c r="E1012" s="8"/>
    </row>
    <row r="1013" spans="2:5" x14ac:dyDescent="0.2">
      <c r="B1013" s="8"/>
      <c r="C1013" s="8"/>
      <c r="D1013" s="8"/>
      <c r="E1013" s="8"/>
    </row>
    <row r="1014" spans="2:5" x14ac:dyDescent="0.2">
      <c r="B1014" s="8"/>
      <c r="C1014" s="8"/>
      <c r="D1014" s="8"/>
      <c r="E1014" s="8"/>
    </row>
    <row r="1015" spans="2:5" x14ac:dyDescent="0.2">
      <c r="B1015" s="8"/>
      <c r="C1015" s="8"/>
      <c r="D1015" s="8"/>
      <c r="E1015" s="8"/>
    </row>
    <row r="1016" spans="2:5" x14ac:dyDescent="0.2">
      <c r="B1016" s="8"/>
      <c r="C1016" s="8"/>
      <c r="D1016" s="8"/>
      <c r="E1016" s="8"/>
    </row>
    <row r="1017" spans="2:5" x14ac:dyDescent="0.2">
      <c r="B1017" s="8"/>
      <c r="C1017" s="8"/>
      <c r="D1017" s="8"/>
      <c r="E1017" s="8"/>
    </row>
    <row r="1018" spans="2:5" x14ac:dyDescent="0.2">
      <c r="B1018" s="8"/>
      <c r="C1018" s="8"/>
      <c r="D1018" s="8"/>
      <c r="E1018" s="8"/>
    </row>
    <row r="1019" spans="2:5" x14ac:dyDescent="0.2">
      <c r="B1019" s="8"/>
      <c r="C1019" s="8"/>
      <c r="D1019" s="8"/>
      <c r="E1019" s="8"/>
    </row>
    <row r="1020" spans="2:5" x14ac:dyDescent="0.2">
      <c r="B1020" s="8"/>
      <c r="C1020" s="8"/>
      <c r="D1020" s="8"/>
      <c r="E1020" s="8"/>
    </row>
    <row r="1021" spans="2:5" x14ac:dyDescent="0.2">
      <c r="B1021" s="8"/>
      <c r="C1021" s="8"/>
      <c r="D1021" s="8"/>
      <c r="E1021" s="8"/>
    </row>
    <row r="1022" spans="2:5" x14ac:dyDescent="0.2">
      <c r="B1022" s="8"/>
      <c r="C1022" s="8"/>
      <c r="D1022" s="8"/>
      <c r="E1022" s="8"/>
    </row>
    <row r="1023" spans="2:5" x14ac:dyDescent="0.2">
      <c r="B1023" s="8"/>
      <c r="C1023" s="8"/>
      <c r="D1023" s="8"/>
      <c r="E1023" s="8"/>
    </row>
    <row r="1024" spans="2:5" x14ac:dyDescent="0.2">
      <c r="B1024" s="8"/>
      <c r="C1024" s="8"/>
      <c r="D1024" s="8"/>
      <c r="E1024" s="8"/>
    </row>
    <row r="1025" spans="2:5" x14ac:dyDescent="0.2">
      <c r="B1025" s="8"/>
      <c r="C1025" s="8"/>
      <c r="D1025" s="8"/>
      <c r="E1025" s="8"/>
    </row>
    <row r="1026" spans="2:5" x14ac:dyDescent="0.2">
      <c r="B1026" s="8"/>
      <c r="C1026" s="8"/>
      <c r="D1026" s="8"/>
      <c r="E1026" s="8"/>
    </row>
    <row r="1027" spans="2:5" x14ac:dyDescent="0.2">
      <c r="B1027" s="8"/>
      <c r="C1027" s="8"/>
      <c r="D1027" s="8"/>
      <c r="E1027" s="8"/>
    </row>
    <row r="1028" spans="2:5" x14ac:dyDescent="0.2">
      <c r="B1028" s="8"/>
      <c r="C1028" s="8"/>
      <c r="D1028" s="8"/>
      <c r="E1028" s="8"/>
    </row>
    <row r="1029" spans="2:5" x14ac:dyDescent="0.2">
      <c r="B1029" s="8"/>
      <c r="C1029" s="8"/>
      <c r="D1029" s="8"/>
      <c r="E1029" s="8"/>
    </row>
    <row r="1030" spans="2:5" x14ac:dyDescent="0.2">
      <c r="B1030" s="8"/>
      <c r="C1030" s="8"/>
      <c r="D1030" s="8"/>
      <c r="E1030" s="8"/>
    </row>
    <row r="1031" spans="2:5" x14ac:dyDescent="0.2">
      <c r="B1031" s="8"/>
      <c r="C1031" s="8"/>
      <c r="D1031" s="8"/>
      <c r="E1031" s="8"/>
    </row>
    <row r="1032" spans="2:5" x14ac:dyDescent="0.2">
      <c r="B1032" s="8"/>
      <c r="C1032" s="8"/>
      <c r="D1032" s="8"/>
      <c r="E1032" s="8"/>
    </row>
    <row r="1033" spans="2:5" x14ac:dyDescent="0.2">
      <c r="B1033" s="8"/>
      <c r="C1033" s="8"/>
      <c r="D1033" s="8"/>
      <c r="E1033" s="8"/>
    </row>
    <row r="1034" spans="2:5" x14ac:dyDescent="0.2">
      <c r="B1034" s="8"/>
      <c r="C1034" s="8"/>
      <c r="D1034" s="8"/>
      <c r="E1034" s="8"/>
    </row>
    <row r="1035" spans="2:5" x14ac:dyDescent="0.2">
      <c r="B1035" s="8"/>
      <c r="C1035" s="8"/>
      <c r="D1035" s="8"/>
      <c r="E1035" s="8"/>
    </row>
    <row r="1036" spans="2:5" x14ac:dyDescent="0.2">
      <c r="B1036" s="8"/>
      <c r="C1036" s="8"/>
      <c r="D1036" s="8"/>
      <c r="E1036" s="8"/>
    </row>
    <row r="1037" spans="2:5" x14ac:dyDescent="0.2">
      <c r="B1037" s="8"/>
      <c r="C1037" s="8"/>
      <c r="D1037" s="8"/>
      <c r="E1037" s="8"/>
    </row>
    <row r="1038" spans="2:5" x14ac:dyDescent="0.2">
      <c r="B1038" s="8"/>
      <c r="C1038" s="8"/>
      <c r="D1038" s="8"/>
      <c r="E1038" s="8"/>
    </row>
    <row r="1039" spans="2:5" x14ac:dyDescent="0.2">
      <c r="B1039" s="8"/>
      <c r="C1039" s="8"/>
      <c r="D1039" s="8"/>
      <c r="E1039" s="8"/>
    </row>
    <row r="1040" spans="2:5" x14ac:dyDescent="0.2">
      <c r="B1040" s="8"/>
      <c r="C1040" s="8"/>
      <c r="D1040" s="8"/>
      <c r="E1040" s="8"/>
    </row>
    <row r="1041" spans="2:5" x14ac:dyDescent="0.2">
      <c r="B1041" s="8"/>
      <c r="C1041" s="8"/>
      <c r="D1041" s="8"/>
      <c r="E1041" s="8"/>
    </row>
    <row r="1042" spans="2:5" x14ac:dyDescent="0.2">
      <c r="B1042" s="8"/>
      <c r="C1042" s="8"/>
      <c r="D1042" s="8"/>
      <c r="E1042" s="8"/>
    </row>
    <row r="1043" spans="2:5" x14ac:dyDescent="0.2">
      <c r="B1043" s="8"/>
      <c r="C1043" s="8"/>
      <c r="D1043" s="8"/>
      <c r="E1043" s="8"/>
    </row>
    <row r="1044" spans="2:5" x14ac:dyDescent="0.2">
      <c r="B1044" s="8"/>
      <c r="C1044" s="8"/>
      <c r="D1044" s="8"/>
      <c r="E1044" s="8"/>
    </row>
    <row r="1045" spans="2:5" x14ac:dyDescent="0.2">
      <c r="B1045" s="8"/>
      <c r="C1045" s="8"/>
      <c r="D1045" s="8"/>
      <c r="E1045" s="8"/>
    </row>
    <row r="1046" spans="2:5" x14ac:dyDescent="0.2">
      <c r="B1046" s="8"/>
      <c r="C1046" s="8"/>
      <c r="D1046" s="8"/>
      <c r="E1046" s="8"/>
    </row>
    <row r="1047" spans="2:5" x14ac:dyDescent="0.2">
      <c r="B1047" s="8"/>
      <c r="C1047" s="8"/>
      <c r="D1047" s="8"/>
      <c r="E1047" s="8"/>
    </row>
    <row r="1048" spans="2:5" x14ac:dyDescent="0.2">
      <c r="B1048" s="8"/>
      <c r="C1048" s="8"/>
      <c r="D1048" s="8"/>
      <c r="E1048" s="8"/>
    </row>
    <row r="1049" spans="2:5" x14ac:dyDescent="0.2">
      <c r="B1049" s="8"/>
      <c r="C1049" s="8"/>
      <c r="D1049" s="8"/>
      <c r="E1049" s="8"/>
    </row>
    <row r="1050" spans="2:5" x14ac:dyDescent="0.2">
      <c r="B1050" s="8"/>
      <c r="C1050" s="8"/>
      <c r="D1050" s="8"/>
      <c r="E1050" s="8"/>
    </row>
    <row r="1051" spans="2:5" x14ac:dyDescent="0.2">
      <c r="B1051" s="8"/>
      <c r="C1051" s="8"/>
      <c r="D1051" s="8"/>
      <c r="E1051" s="8"/>
    </row>
    <row r="1052" spans="2:5" x14ac:dyDescent="0.2">
      <c r="B1052" s="8"/>
      <c r="C1052" s="8"/>
      <c r="D1052" s="8"/>
      <c r="E1052" s="8"/>
    </row>
    <row r="1053" spans="2:5" x14ac:dyDescent="0.2">
      <c r="B1053" s="8"/>
      <c r="C1053" s="8"/>
      <c r="D1053" s="8"/>
      <c r="E1053" s="8"/>
    </row>
    <row r="1054" spans="2:5" x14ac:dyDescent="0.2">
      <c r="B1054" s="8"/>
      <c r="C1054" s="8"/>
      <c r="D1054" s="8"/>
      <c r="E1054" s="8"/>
    </row>
    <row r="1055" spans="2:5" x14ac:dyDescent="0.2">
      <c r="B1055" s="8"/>
      <c r="C1055" s="8"/>
      <c r="D1055" s="8"/>
      <c r="E1055" s="8"/>
    </row>
    <row r="1056" spans="2:5" x14ac:dyDescent="0.2">
      <c r="B1056" s="8"/>
      <c r="C1056" s="8"/>
      <c r="D1056" s="8"/>
      <c r="E1056" s="8"/>
    </row>
    <row r="1057" spans="2:5" x14ac:dyDescent="0.2">
      <c r="B1057" s="8"/>
      <c r="C1057" s="8"/>
      <c r="D1057" s="8"/>
      <c r="E1057" s="8"/>
    </row>
    <row r="1058" spans="2:5" x14ac:dyDescent="0.2">
      <c r="B1058" s="8"/>
      <c r="C1058" s="8"/>
      <c r="D1058" s="8"/>
      <c r="E1058" s="8"/>
    </row>
    <row r="1059" spans="2:5" x14ac:dyDescent="0.2">
      <c r="B1059" s="8"/>
      <c r="C1059" s="8"/>
      <c r="D1059" s="8"/>
      <c r="E1059" s="8"/>
    </row>
    <row r="1060" spans="2:5" x14ac:dyDescent="0.2">
      <c r="B1060" s="8"/>
      <c r="C1060" s="8"/>
      <c r="D1060" s="8"/>
      <c r="E1060" s="8"/>
    </row>
    <row r="1061" spans="2:5" x14ac:dyDescent="0.2">
      <c r="B1061" s="8"/>
      <c r="C1061" s="8"/>
      <c r="D1061" s="8"/>
      <c r="E1061" s="8"/>
    </row>
    <row r="1062" spans="2:5" x14ac:dyDescent="0.2">
      <c r="B1062" s="8"/>
      <c r="C1062" s="8"/>
      <c r="D1062" s="8"/>
      <c r="E1062" s="8"/>
    </row>
    <row r="1063" spans="2:5" x14ac:dyDescent="0.2">
      <c r="B1063" s="8"/>
      <c r="C1063" s="8"/>
      <c r="D1063" s="8"/>
      <c r="E1063" s="8"/>
    </row>
    <row r="1064" spans="2:5" x14ac:dyDescent="0.2">
      <c r="B1064" s="8"/>
      <c r="C1064" s="8"/>
      <c r="D1064" s="8"/>
      <c r="E1064" s="8"/>
    </row>
    <row r="1065" spans="2:5" x14ac:dyDescent="0.2">
      <c r="B1065" s="8"/>
      <c r="C1065" s="8"/>
      <c r="D1065" s="8"/>
      <c r="E1065" s="8"/>
    </row>
    <row r="1066" spans="2:5" x14ac:dyDescent="0.2">
      <c r="B1066" s="8"/>
      <c r="C1066" s="8"/>
      <c r="D1066" s="8"/>
      <c r="E1066" s="8"/>
    </row>
    <row r="1067" spans="2:5" x14ac:dyDescent="0.2">
      <c r="B1067" s="8"/>
      <c r="C1067" s="8"/>
      <c r="D1067" s="8"/>
      <c r="E1067" s="8"/>
    </row>
    <row r="1068" spans="2:5" x14ac:dyDescent="0.2">
      <c r="B1068" s="8"/>
      <c r="C1068" s="8"/>
      <c r="D1068" s="8"/>
      <c r="E1068" s="8"/>
    </row>
    <row r="1069" spans="2:5" x14ac:dyDescent="0.2">
      <c r="B1069" s="8"/>
      <c r="C1069" s="8"/>
      <c r="D1069" s="8"/>
      <c r="E1069" s="8"/>
    </row>
    <row r="1070" spans="2:5" x14ac:dyDescent="0.2">
      <c r="B1070" s="8"/>
      <c r="C1070" s="8"/>
      <c r="D1070" s="8"/>
      <c r="E1070" s="8"/>
    </row>
    <row r="1071" spans="2:5" x14ac:dyDescent="0.2">
      <c r="B1071" s="8"/>
      <c r="C1071" s="8"/>
      <c r="D1071" s="8"/>
      <c r="E1071" s="8"/>
    </row>
    <row r="1072" spans="2:5" x14ac:dyDescent="0.2">
      <c r="B1072" s="8"/>
      <c r="C1072" s="8"/>
      <c r="D1072" s="8"/>
      <c r="E1072" s="8"/>
    </row>
    <row r="1073" spans="2:5" x14ac:dyDescent="0.2">
      <c r="B1073" s="8"/>
      <c r="C1073" s="8"/>
      <c r="D1073" s="8"/>
      <c r="E1073" s="8"/>
    </row>
    <row r="1074" spans="2:5" x14ac:dyDescent="0.2">
      <c r="B1074" s="8"/>
      <c r="C1074" s="8"/>
      <c r="D1074" s="8"/>
      <c r="E1074" s="8"/>
    </row>
    <row r="1075" spans="2:5" x14ac:dyDescent="0.2">
      <c r="B1075" s="8"/>
      <c r="C1075" s="8"/>
      <c r="D1075" s="8"/>
      <c r="E1075" s="8"/>
    </row>
    <row r="1076" spans="2:5" x14ac:dyDescent="0.2">
      <c r="B1076" s="8"/>
      <c r="C1076" s="8"/>
      <c r="D1076" s="8"/>
      <c r="E1076" s="8"/>
    </row>
    <row r="1077" spans="2:5" x14ac:dyDescent="0.2">
      <c r="B1077" s="8"/>
      <c r="C1077" s="8"/>
      <c r="D1077" s="8"/>
      <c r="E1077" s="8"/>
    </row>
  </sheetData>
  <mergeCells count="51">
    <mergeCell ref="A14:A38"/>
    <mergeCell ref="A40:B40"/>
    <mergeCell ref="A41:B41"/>
    <mergeCell ref="A43:Q43"/>
    <mergeCell ref="H44:L44"/>
    <mergeCell ref="C44:G44"/>
    <mergeCell ref="C45:C47"/>
    <mergeCell ref="D45:D47"/>
    <mergeCell ref="E45:E47"/>
    <mergeCell ref="F45:G45"/>
    <mergeCell ref="M44:P44"/>
    <mergeCell ref="N45:P45"/>
    <mergeCell ref="K45:K47"/>
    <mergeCell ref="L45:L47"/>
    <mergeCell ref="M45:M47"/>
    <mergeCell ref="F46:F47"/>
    <mergeCell ref="G46:G47"/>
    <mergeCell ref="N46:N47"/>
    <mergeCell ref="O46:O47"/>
    <mergeCell ref="P46:P47"/>
    <mergeCell ref="H45:H47"/>
    <mergeCell ref="I45:I47"/>
    <mergeCell ref="J45:J47"/>
    <mergeCell ref="Q46:Q47"/>
    <mergeCell ref="C6:G6"/>
    <mergeCell ref="H6:L6"/>
    <mergeCell ref="C7:C9"/>
    <mergeCell ref="D7:D9"/>
    <mergeCell ref="E7:E9"/>
    <mergeCell ref="F7:G7"/>
    <mergeCell ref="H7:H9"/>
    <mergeCell ref="I7:I9"/>
    <mergeCell ref="J7:J9"/>
    <mergeCell ref="K7:K9"/>
    <mergeCell ref="L7:L9"/>
    <mergeCell ref="M7:M9"/>
    <mergeCell ref="F8:F9"/>
    <mergeCell ref="G8:G9"/>
    <mergeCell ref="A75:B75"/>
    <mergeCell ref="A77:B77"/>
    <mergeCell ref="A78:B78"/>
    <mergeCell ref="A52:A72"/>
    <mergeCell ref="A74:B74"/>
    <mergeCell ref="N8:N9"/>
    <mergeCell ref="O8:O9"/>
    <mergeCell ref="P8:P9"/>
    <mergeCell ref="Q8:Q9"/>
    <mergeCell ref="A3:Q3"/>
    <mergeCell ref="A5:Q5"/>
    <mergeCell ref="M6:P6"/>
    <mergeCell ref="N7:P7"/>
  </mergeCells>
  <printOptions horizontalCentered="1"/>
  <pageMargins left="0.11811023622047245" right="0.19685039370078741" top="0.59055118110236227" bottom="0.31496062992125984" header="0.23622047244094491" footer="7.874015748031496E-2"/>
  <pageSetup paperSize="9" scale="65" firstPageNumber="60" orientation="portrait" useFirstPageNumber="1" r:id="rId1"/>
  <headerFooter alignWithMargins="0">
    <oddHeader>&amp;C&amp;"Arial,Kursywa"Informacja o przebiegu wykonania budżetu Województwa Zachodniopomorskiego za I kwartał 2013 roku - załączniki
____________________________________________________________________________________________________________________________</oddHeader>
    <oddFooter>&amp;C&amp;8&amp;P</oddFooter>
  </headerFooter>
  <rowBreaks count="1" manualBreakCount="1">
    <brk id="41" max="1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J431"/>
  <sheetViews>
    <sheetView showGridLines="0" view="pageBreakPreview" zoomScaleNormal="100" zoomScaleSheetLayoutView="100" workbookViewId="0">
      <selection activeCell="U1" sqref="T1:U1048576"/>
    </sheetView>
  </sheetViews>
  <sheetFormatPr defaultRowHeight="11.25" x14ac:dyDescent="0.2"/>
  <cols>
    <col min="1" max="1" width="2.85546875" style="1748" customWidth="1"/>
    <col min="2" max="2" width="53.140625" style="1749" customWidth="1"/>
    <col min="3" max="3" width="11" style="1749" customWidth="1"/>
    <col min="4" max="4" width="11.5703125" style="1749" customWidth="1"/>
    <col min="5" max="5" width="10.85546875" style="1749" hidden="1" customWidth="1"/>
    <col min="6" max="6" width="10.28515625" style="1749" hidden="1" customWidth="1"/>
    <col min="7" max="7" width="12" style="1749" customWidth="1"/>
    <col min="8" max="8" width="12.7109375" style="1749" customWidth="1"/>
    <col min="9" max="9" width="12.7109375" style="1749" hidden="1" customWidth="1"/>
    <col min="10" max="10" width="11" style="1749" hidden="1" customWidth="1"/>
    <col min="11" max="11" width="12.42578125" style="1749" hidden="1" customWidth="1"/>
    <col min="12" max="12" width="11.85546875" style="1749" hidden="1" customWidth="1"/>
    <col min="13" max="13" width="12.7109375" style="1749" hidden="1" customWidth="1"/>
    <col min="14" max="14" width="12.28515625" style="1749" customWidth="1"/>
    <col min="15" max="15" width="11.28515625" style="1947" customWidth="1"/>
    <col min="16" max="16" width="10.85546875" style="1751" customWidth="1"/>
    <col min="17" max="17" width="12" style="1751" customWidth="1"/>
    <col min="18" max="18" width="11.7109375" style="1751" hidden="1" customWidth="1"/>
    <col min="19" max="19" width="14.28515625" style="1948" customWidth="1"/>
    <col min="20" max="20" width="11.85546875" style="1749" customWidth="1"/>
    <col min="21" max="16384" width="9.140625" style="1749"/>
  </cols>
  <sheetData>
    <row r="1" spans="1:114" ht="24.75" customHeight="1" x14ac:dyDescent="0.3">
      <c r="N1" s="9"/>
      <c r="O1" s="9"/>
      <c r="P1" s="9" t="s">
        <v>374</v>
      </c>
      <c r="Q1" s="9"/>
      <c r="S1" s="1287"/>
    </row>
    <row r="2" spans="1:114" ht="15" customHeight="1" x14ac:dyDescent="0.2">
      <c r="N2" s="242"/>
      <c r="O2" s="1749"/>
      <c r="P2" s="1749"/>
      <c r="Q2" s="1749"/>
      <c r="R2" s="1749"/>
      <c r="S2" s="1287"/>
    </row>
    <row r="3" spans="1:114" ht="5.25" customHeight="1" x14ac:dyDescent="0.2">
      <c r="N3" s="242"/>
      <c r="O3" s="1749"/>
      <c r="P3" s="1749"/>
      <c r="Q3" s="1749"/>
      <c r="R3" s="1749"/>
      <c r="S3" s="1287"/>
    </row>
    <row r="4" spans="1:114" ht="9" customHeight="1" x14ac:dyDescent="0.2">
      <c r="A4" s="1750"/>
      <c r="B4" s="1751"/>
      <c r="C4" s="1751"/>
      <c r="D4" s="1751"/>
      <c r="N4" s="242"/>
      <c r="O4" s="1749"/>
      <c r="P4" s="1749"/>
      <c r="Q4" s="1749"/>
      <c r="R4" s="1749"/>
      <c r="S4" s="1287"/>
    </row>
    <row r="5" spans="1:114" s="1753" customFormat="1" ht="46.5" customHeight="1" thickBot="1" x14ac:dyDescent="0.25">
      <c r="A5" s="3302" t="s">
        <v>274</v>
      </c>
      <c r="B5" s="3303"/>
      <c r="C5" s="3303"/>
      <c r="D5" s="3303"/>
      <c r="E5" s="3303"/>
      <c r="F5" s="3303"/>
      <c r="G5" s="3303"/>
      <c r="H5" s="3303"/>
      <c r="I5" s="3303"/>
      <c r="J5" s="3303"/>
      <c r="K5" s="3303"/>
      <c r="L5" s="3303"/>
      <c r="M5" s="3303"/>
      <c r="N5" s="2981"/>
      <c r="O5" s="2981"/>
      <c r="P5" s="2981"/>
      <c r="Q5" s="2981"/>
      <c r="R5" s="2981"/>
      <c r="S5" s="2981"/>
      <c r="T5" s="1537"/>
      <c r="U5" s="1752"/>
      <c r="V5" s="1752"/>
      <c r="W5" s="1752"/>
      <c r="X5" s="1752"/>
      <c r="Y5" s="1752"/>
      <c r="Z5" s="1752"/>
      <c r="AA5" s="1752"/>
      <c r="AB5" s="1752"/>
      <c r="AC5" s="1752"/>
      <c r="AD5" s="1752"/>
      <c r="AE5" s="1752"/>
      <c r="AF5" s="1752"/>
      <c r="AG5" s="1752"/>
      <c r="AH5" s="1752"/>
      <c r="AI5" s="1752"/>
      <c r="AJ5" s="1752"/>
      <c r="AK5" s="1752"/>
      <c r="AL5" s="1752"/>
      <c r="AM5" s="1752"/>
      <c r="AN5" s="1752"/>
      <c r="AO5" s="1752"/>
      <c r="AP5" s="1752"/>
      <c r="AQ5" s="1752"/>
      <c r="AR5" s="1752"/>
      <c r="AS5" s="1752"/>
      <c r="AT5" s="1752"/>
      <c r="AU5" s="1752"/>
      <c r="AV5" s="1752"/>
      <c r="AW5" s="1752"/>
      <c r="AX5" s="1752"/>
      <c r="AY5" s="1752"/>
      <c r="AZ5" s="1752"/>
      <c r="BA5" s="1752"/>
      <c r="BB5" s="1752"/>
      <c r="BC5" s="1752"/>
      <c r="BD5" s="1752"/>
      <c r="BE5" s="1752"/>
      <c r="BF5" s="1752"/>
      <c r="BG5" s="1752"/>
      <c r="BH5" s="1752"/>
      <c r="BI5" s="1752"/>
      <c r="BJ5" s="1752"/>
      <c r="BK5" s="1752"/>
      <c r="BL5" s="1752"/>
      <c r="BM5" s="1752"/>
      <c r="BN5" s="1752"/>
      <c r="BO5" s="1752"/>
      <c r="BP5" s="1752"/>
      <c r="BQ5" s="1752"/>
      <c r="BR5" s="1752"/>
      <c r="BS5" s="1752"/>
      <c r="BT5" s="1752"/>
      <c r="BU5" s="1752"/>
      <c r="BV5" s="1752"/>
      <c r="BW5" s="1752"/>
      <c r="BX5" s="1752"/>
      <c r="BY5" s="1752"/>
      <c r="BZ5" s="1752"/>
      <c r="CA5" s="1752"/>
      <c r="CB5" s="1752"/>
      <c r="CC5" s="1752"/>
      <c r="CD5" s="1752"/>
      <c r="CE5" s="1752"/>
      <c r="CF5" s="1752"/>
      <c r="CG5" s="1752"/>
      <c r="CH5" s="1752"/>
      <c r="CI5" s="1752"/>
      <c r="CJ5" s="1752"/>
      <c r="CK5" s="1752"/>
      <c r="CL5" s="1752"/>
      <c r="CM5" s="1752"/>
      <c r="CN5" s="1752"/>
      <c r="CO5" s="1752"/>
      <c r="CP5" s="1752"/>
      <c r="CQ5" s="1752"/>
      <c r="CR5" s="1752"/>
      <c r="CS5" s="1752"/>
      <c r="CT5" s="1752"/>
      <c r="CU5" s="1752"/>
      <c r="CV5" s="1752"/>
      <c r="CW5" s="1752"/>
      <c r="CX5" s="1752"/>
      <c r="CY5" s="1752"/>
      <c r="CZ5" s="1752"/>
      <c r="DA5" s="1752"/>
      <c r="DB5" s="1752"/>
      <c r="DC5" s="1752"/>
      <c r="DD5" s="1752"/>
      <c r="DE5" s="1752"/>
      <c r="DF5" s="1752"/>
      <c r="DG5" s="1752"/>
      <c r="DH5" s="1752"/>
      <c r="DI5" s="1752"/>
      <c r="DJ5" s="1752"/>
    </row>
    <row r="6" spans="1:114" s="493" customFormat="1" ht="48" customHeight="1" x14ac:dyDescent="0.2">
      <c r="A6" s="3270" t="s">
        <v>32</v>
      </c>
      <c r="B6" s="3273" t="s">
        <v>33</v>
      </c>
      <c r="C6" s="2988" t="s">
        <v>34</v>
      </c>
      <c r="D6" s="2717" t="s">
        <v>360</v>
      </c>
      <c r="E6" s="2718"/>
      <c r="F6" s="2718"/>
      <c r="G6" s="2718"/>
      <c r="H6" s="2719"/>
      <c r="I6" s="2927"/>
      <c r="J6" s="2928"/>
      <c r="K6" s="2928"/>
      <c r="L6" s="2928"/>
      <c r="M6" s="2929"/>
      <c r="N6" s="2930" t="s">
        <v>214</v>
      </c>
      <c r="O6" s="2718"/>
      <c r="P6" s="2718"/>
      <c r="Q6" s="2718"/>
      <c r="R6" s="2718"/>
      <c r="S6" s="2719"/>
    </row>
    <row r="7" spans="1:114" s="493" customFormat="1" ht="28.5" customHeight="1" x14ac:dyDescent="0.2">
      <c r="A7" s="3271"/>
      <c r="B7" s="3274"/>
      <c r="C7" s="2989"/>
      <c r="D7" s="2931" t="s">
        <v>0</v>
      </c>
      <c r="E7" s="2934" t="s">
        <v>215</v>
      </c>
      <c r="F7" s="2935" t="s">
        <v>216</v>
      </c>
      <c r="G7" s="2917" t="s">
        <v>349</v>
      </c>
      <c r="H7" s="2918"/>
      <c r="I7" s="2937" t="s">
        <v>0</v>
      </c>
      <c r="J7" s="2919" t="s">
        <v>215</v>
      </c>
      <c r="K7" s="2940" t="s">
        <v>216</v>
      </c>
      <c r="L7" s="2919" t="s">
        <v>308</v>
      </c>
      <c r="M7" s="2943" t="s">
        <v>304</v>
      </c>
      <c r="N7" s="2944" t="s">
        <v>217</v>
      </c>
      <c r="O7" s="2720" t="s">
        <v>359</v>
      </c>
      <c r="P7" s="2721"/>
      <c r="Q7" s="2721"/>
      <c r="R7" s="2788"/>
      <c r="S7" s="2945" t="s">
        <v>35</v>
      </c>
    </row>
    <row r="8" spans="1:114" s="493" customFormat="1" ht="41.25" customHeight="1" x14ac:dyDescent="0.2">
      <c r="A8" s="3304"/>
      <c r="B8" s="3306"/>
      <c r="C8" s="3237"/>
      <c r="D8" s="2932"/>
      <c r="E8" s="2932"/>
      <c r="F8" s="2935"/>
      <c r="G8" s="2753" t="s">
        <v>358</v>
      </c>
      <c r="H8" s="2761" t="s">
        <v>304</v>
      </c>
      <c r="I8" s="2938"/>
      <c r="J8" s="2920"/>
      <c r="K8" s="2941"/>
      <c r="L8" s="2920"/>
      <c r="M8" s="2733"/>
      <c r="N8" s="2753"/>
      <c r="O8" s="2753" t="s">
        <v>355</v>
      </c>
      <c r="P8" s="2753" t="s">
        <v>218</v>
      </c>
      <c r="Q8" s="2753" t="s">
        <v>356</v>
      </c>
      <c r="R8" s="2709" t="s">
        <v>219</v>
      </c>
      <c r="S8" s="2946"/>
    </row>
    <row r="9" spans="1:114" s="493" customFormat="1" ht="57.75" customHeight="1" thickBot="1" x14ac:dyDescent="0.25">
      <c r="A9" s="3305"/>
      <c r="B9" s="3307"/>
      <c r="C9" s="2884"/>
      <c r="D9" s="2933"/>
      <c r="E9" s="2933"/>
      <c r="F9" s="2936"/>
      <c r="G9" s="2755"/>
      <c r="H9" s="2762"/>
      <c r="I9" s="2939"/>
      <c r="J9" s="2921"/>
      <c r="K9" s="2942"/>
      <c r="L9" s="2921"/>
      <c r="M9" s="2735"/>
      <c r="N9" s="2755"/>
      <c r="O9" s="2755"/>
      <c r="P9" s="2755"/>
      <c r="Q9" s="2755"/>
      <c r="R9" s="2710"/>
      <c r="S9" s="2787"/>
    </row>
    <row r="10" spans="1:114" s="493" customFormat="1" ht="13.5" customHeight="1" thickBot="1" x14ac:dyDescent="0.25">
      <c r="A10" s="2460">
        <v>1</v>
      </c>
      <c r="B10" s="2461">
        <v>2</v>
      </c>
      <c r="C10" s="2462">
        <v>3</v>
      </c>
      <c r="D10" s="2463">
        <v>4</v>
      </c>
      <c r="E10" s="2464"/>
      <c r="F10" s="2465"/>
      <c r="G10" s="2465">
        <v>5</v>
      </c>
      <c r="H10" s="2466">
        <v>6</v>
      </c>
      <c r="I10" s="2467">
        <v>7</v>
      </c>
      <c r="J10" s="2465"/>
      <c r="K10" s="2465"/>
      <c r="L10" s="2465">
        <v>8</v>
      </c>
      <c r="M10" s="2466">
        <v>9</v>
      </c>
      <c r="N10" s="2467">
        <v>7</v>
      </c>
      <c r="O10" s="2657">
        <v>8</v>
      </c>
      <c r="P10" s="2087">
        <v>9</v>
      </c>
      <c r="Q10" s="2465">
        <v>10</v>
      </c>
      <c r="R10" s="2465">
        <v>14</v>
      </c>
      <c r="S10" s="2466">
        <v>11</v>
      </c>
    </row>
    <row r="11" spans="1:114" s="1842" customFormat="1" ht="19.5" customHeight="1" thickBot="1" x14ac:dyDescent="0.25">
      <c r="A11" s="2658"/>
      <c r="B11" s="264" t="s">
        <v>220</v>
      </c>
      <c r="C11" s="509"/>
      <c r="D11" s="35">
        <f t="shared" ref="D11:H11" si="0">D12+D13</f>
        <v>941987</v>
      </c>
      <c r="E11" s="36">
        <f t="shared" si="0"/>
        <v>7150</v>
      </c>
      <c r="F11" s="36">
        <f t="shared" si="0"/>
        <v>171710</v>
      </c>
      <c r="G11" s="36">
        <f t="shared" si="0"/>
        <v>450963</v>
      </c>
      <c r="H11" s="37">
        <f t="shared" si="0"/>
        <v>312164</v>
      </c>
      <c r="I11" s="35">
        <f t="shared" ref="I11:N11" si="1">I12+I13</f>
        <v>936846</v>
      </c>
      <c r="J11" s="36">
        <f t="shared" si="1"/>
        <v>7150</v>
      </c>
      <c r="K11" s="36">
        <f t="shared" si="1"/>
        <v>166569</v>
      </c>
      <c r="L11" s="36">
        <f t="shared" si="1"/>
        <v>450963</v>
      </c>
      <c r="M11" s="37">
        <f t="shared" si="1"/>
        <v>312164</v>
      </c>
      <c r="N11" s="35">
        <f t="shared" si="1"/>
        <v>189980</v>
      </c>
      <c r="O11" s="267">
        <f>N11/D11*100</f>
        <v>20.168006564846436</v>
      </c>
      <c r="P11" s="36">
        <f>P12+P13</f>
        <v>16261</v>
      </c>
      <c r="Q11" s="267">
        <f>P11/G11*100</f>
        <v>3.6058390599672259</v>
      </c>
      <c r="R11" s="1414">
        <f>R12+R13</f>
        <v>-96479.75</v>
      </c>
      <c r="S11" s="2659"/>
    </row>
    <row r="12" spans="1:114" s="493" customFormat="1" ht="17.25" customHeight="1" thickTop="1" x14ac:dyDescent="0.2">
      <c r="A12" s="2660"/>
      <c r="B12" s="273" t="s">
        <v>221</v>
      </c>
      <c r="C12" s="1960"/>
      <c r="D12" s="1961">
        <f t="shared" ref="D12:H12" si="2">D23</f>
        <v>941987</v>
      </c>
      <c r="E12" s="2661">
        <f t="shared" si="2"/>
        <v>7150</v>
      </c>
      <c r="F12" s="2661">
        <f t="shared" si="2"/>
        <v>171710</v>
      </c>
      <c r="G12" s="2661">
        <f t="shared" si="2"/>
        <v>450963</v>
      </c>
      <c r="H12" s="2662">
        <f t="shared" si="2"/>
        <v>312164</v>
      </c>
      <c r="I12" s="1961">
        <f t="shared" ref="I12:N12" si="3">I23</f>
        <v>936846</v>
      </c>
      <c r="J12" s="2661">
        <f t="shared" si="3"/>
        <v>7150</v>
      </c>
      <c r="K12" s="2661">
        <f t="shared" si="3"/>
        <v>166569</v>
      </c>
      <c r="L12" s="2661">
        <f t="shared" si="3"/>
        <v>450963</v>
      </c>
      <c r="M12" s="2662">
        <f t="shared" si="3"/>
        <v>312164</v>
      </c>
      <c r="N12" s="44">
        <f t="shared" si="3"/>
        <v>189980</v>
      </c>
      <c r="O12" s="2093">
        <f>N12/D12*100</f>
        <v>20.168006564846436</v>
      </c>
      <c r="P12" s="2661">
        <f>P23</f>
        <v>16261</v>
      </c>
      <c r="Q12" s="2093">
        <f>P12/G12*100</f>
        <v>3.6058390599672259</v>
      </c>
      <c r="R12" s="2663">
        <f>R23</f>
        <v>-96479.75</v>
      </c>
      <c r="S12" s="2664"/>
    </row>
    <row r="13" spans="1:114" s="493" customFormat="1" ht="15.75" customHeight="1" x14ac:dyDescent="0.2">
      <c r="A13" s="2665"/>
      <c r="B13" s="523" t="s">
        <v>222</v>
      </c>
      <c r="C13" s="524"/>
      <c r="D13" s="2666">
        <v>0</v>
      </c>
      <c r="E13" s="2609">
        <v>0</v>
      </c>
      <c r="F13" s="2609">
        <v>0</v>
      </c>
      <c r="G13" s="2609">
        <v>0</v>
      </c>
      <c r="H13" s="2667">
        <v>0</v>
      </c>
      <c r="I13" s="2666">
        <v>0</v>
      </c>
      <c r="J13" s="2609">
        <v>0</v>
      </c>
      <c r="K13" s="2609">
        <v>0</v>
      </c>
      <c r="L13" s="2609">
        <v>0</v>
      </c>
      <c r="M13" s="2667">
        <v>0</v>
      </c>
      <c r="N13" s="2668">
        <v>0</v>
      </c>
      <c r="O13" s="2669">
        <v>0</v>
      </c>
      <c r="P13" s="2670">
        <v>0</v>
      </c>
      <c r="Q13" s="2669">
        <v>0</v>
      </c>
      <c r="R13" s="2671">
        <v>0</v>
      </c>
      <c r="S13" s="2672"/>
    </row>
    <row r="14" spans="1:114" ht="18.75" customHeight="1" x14ac:dyDescent="0.2">
      <c r="A14" s="3308"/>
      <c r="B14" s="2673" t="s">
        <v>3</v>
      </c>
      <c r="C14" s="1816"/>
      <c r="D14" s="2497">
        <f t="shared" ref="D14:H14" si="4">D15+D17</f>
        <v>941987</v>
      </c>
      <c r="E14" s="2674">
        <f t="shared" si="4"/>
        <v>7150</v>
      </c>
      <c r="F14" s="2674">
        <f t="shared" si="4"/>
        <v>171710</v>
      </c>
      <c r="G14" s="2674">
        <f t="shared" si="4"/>
        <v>450963</v>
      </c>
      <c r="H14" s="2675">
        <f t="shared" si="4"/>
        <v>312164</v>
      </c>
      <c r="I14" s="2497">
        <f t="shared" ref="I14:P14" si="5">I15+I17</f>
        <v>936846</v>
      </c>
      <c r="J14" s="2674">
        <f t="shared" si="5"/>
        <v>7150</v>
      </c>
      <c r="K14" s="2674">
        <f t="shared" si="5"/>
        <v>166569</v>
      </c>
      <c r="L14" s="2674">
        <f t="shared" si="5"/>
        <v>450963</v>
      </c>
      <c r="M14" s="2675">
        <f t="shared" si="5"/>
        <v>312164</v>
      </c>
      <c r="N14" s="2676">
        <f t="shared" si="5"/>
        <v>189980</v>
      </c>
      <c r="O14" s="2677">
        <f t="shared" ref="O14:O30" si="6">N14/D14*100</f>
        <v>20.168006564846436</v>
      </c>
      <c r="P14" s="2678">
        <f t="shared" si="5"/>
        <v>16261</v>
      </c>
      <c r="Q14" s="2677">
        <f t="shared" ref="Q14:Q30" si="7">P14/G14*100</f>
        <v>3.6058390599672259</v>
      </c>
      <c r="R14" s="2679">
        <f>+P14-L14*0.25</f>
        <v>-96479.75</v>
      </c>
      <c r="S14" s="3278" t="s">
        <v>97</v>
      </c>
      <c r="T14" s="300"/>
    </row>
    <row r="15" spans="1:114" ht="12" customHeight="1" x14ac:dyDescent="0.2">
      <c r="A15" s="2955"/>
      <c r="B15" s="1303" t="s">
        <v>18</v>
      </c>
      <c r="C15" s="3280" t="s">
        <v>97</v>
      </c>
      <c r="D15" s="2478">
        <f t="shared" ref="D15:P15" si="8">D16</f>
        <v>141298</v>
      </c>
      <c r="E15" s="2680">
        <f t="shared" si="8"/>
        <v>1073</v>
      </c>
      <c r="F15" s="2680">
        <f t="shared" si="8"/>
        <v>25757</v>
      </c>
      <c r="G15" s="2680">
        <f t="shared" si="8"/>
        <v>67644</v>
      </c>
      <c r="H15" s="2681">
        <f t="shared" si="8"/>
        <v>46824</v>
      </c>
      <c r="I15" s="2478">
        <f t="shared" si="8"/>
        <v>140526</v>
      </c>
      <c r="J15" s="2680">
        <f t="shared" si="8"/>
        <v>1073</v>
      </c>
      <c r="K15" s="2680">
        <f t="shared" si="8"/>
        <v>24985</v>
      </c>
      <c r="L15" s="2680">
        <f t="shared" si="8"/>
        <v>67644</v>
      </c>
      <c r="M15" s="2681">
        <f t="shared" si="8"/>
        <v>46824</v>
      </c>
      <c r="N15" s="2682">
        <f t="shared" si="8"/>
        <v>28497</v>
      </c>
      <c r="O15" s="2683">
        <f t="shared" si="6"/>
        <v>20.168013701538591</v>
      </c>
      <c r="P15" s="2684">
        <f t="shared" si="8"/>
        <v>2439</v>
      </c>
      <c r="Q15" s="2683">
        <f t="shared" si="7"/>
        <v>3.6056412985630657</v>
      </c>
      <c r="R15" s="2685">
        <f t="shared" ref="R15:R30" si="9">+P15-L15*0.25</f>
        <v>-14472</v>
      </c>
      <c r="S15" s="3278"/>
      <c r="T15" s="300"/>
    </row>
    <row r="16" spans="1:114" ht="15" customHeight="1" x14ac:dyDescent="0.2">
      <c r="A16" s="2955"/>
      <c r="B16" s="557" t="s">
        <v>5</v>
      </c>
      <c r="C16" s="3281"/>
      <c r="D16" s="2483">
        <f t="shared" ref="D16:H16" si="10">D25</f>
        <v>141298</v>
      </c>
      <c r="E16" s="2485">
        <f t="shared" si="10"/>
        <v>1073</v>
      </c>
      <c r="F16" s="2485">
        <f t="shared" si="10"/>
        <v>25757</v>
      </c>
      <c r="G16" s="2485">
        <f t="shared" si="10"/>
        <v>67644</v>
      </c>
      <c r="H16" s="1313">
        <f t="shared" si="10"/>
        <v>46824</v>
      </c>
      <c r="I16" s="2483">
        <f t="shared" ref="I16:M16" si="11">I25</f>
        <v>140526</v>
      </c>
      <c r="J16" s="2485">
        <f t="shared" si="11"/>
        <v>1073</v>
      </c>
      <c r="K16" s="2485">
        <f t="shared" si="11"/>
        <v>24985</v>
      </c>
      <c r="L16" s="2485">
        <f t="shared" si="11"/>
        <v>67644</v>
      </c>
      <c r="M16" s="1313">
        <f t="shared" si="11"/>
        <v>46824</v>
      </c>
      <c r="N16" s="1311">
        <f>N25</f>
        <v>28497</v>
      </c>
      <c r="O16" s="2686">
        <f t="shared" si="6"/>
        <v>20.168013701538591</v>
      </c>
      <c r="P16" s="1312">
        <f>P25</f>
        <v>2439</v>
      </c>
      <c r="Q16" s="2686">
        <f t="shared" si="7"/>
        <v>3.6056412985630657</v>
      </c>
      <c r="R16" s="2486">
        <f t="shared" si="9"/>
        <v>-14472</v>
      </c>
      <c r="S16" s="3278"/>
      <c r="T16" s="300"/>
    </row>
    <row r="17" spans="1:20" ht="14.25" customHeight="1" x14ac:dyDescent="0.2">
      <c r="A17" s="2955"/>
      <c r="B17" s="539" t="s">
        <v>13</v>
      </c>
      <c r="C17" s="3281"/>
      <c r="D17" s="2487">
        <f t="shared" ref="D17:P17" si="12">D18</f>
        <v>800689</v>
      </c>
      <c r="E17" s="2488">
        <f t="shared" si="12"/>
        <v>6077</v>
      </c>
      <c r="F17" s="2488">
        <f t="shared" si="12"/>
        <v>145953</v>
      </c>
      <c r="G17" s="2488">
        <f t="shared" si="12"/>
        <v>383319</v>
      </c>
      <c r="H17" s="2687">
        <f t="shared" si="12"/>
        <v>265340</v>
      </c>
      <c r="I17" s="2487">
        <f t="shared" si="12"/>
        <v>796320</v>
      </c>
      <c r="J17" s="2488">
        <f t="shared" si="12"/>
        <v>6077</v>
      </c>
      <c r="K17" s="2488">
        <f t="shared" si="12"/>
        <v>141584</v>
      </c>
      <c r="L17" s="2488">
        <f t="shared" si="12"/>
        <v>383319</v>
      </c>
      <c r="M17" s="2687">
        <f t="shared" si="12"/>
        <v>265340</v>
      </c>
      <c r="N17" s="2688">
        <f t="shared" si="12"/>
        <v>161483</v>
      </c>
      <c r="O17" s="2689">
        <f t="shared" si="6"/>
        <v>20.168005305430697</v>
      </c>
      <c r="P17" s="2690">
        <f t="shared" si="12"/>
        <v>13822</v>
      </c>
      <c r="Q17" s="2689">
        <f t="shared" si="7"/>
        <v>3.6058739587654145</v>
      </c>
      <c r="R17" s="2490">
        <f t="shared" si="9"/>
        <v>-82007.75</v>
      </c>
      <c r="S17" s="3278"/>
      <c r="T17" s="300"/>
    </row>
    <row r="18" spans="1:20" ht="13.5" customHeight="1" x14ac:dyDescent="0.2">
      <c r="A18" s="2955"/>
      <c r="B18" s="2491" t="s">
        <v>15</v>
      </c>
      <c r="C18" s="3282"/>
      <c r="D18" s="2492">
        <f t="shared" ref="D18:H18" si="13">D27</f>
        <v>800689</v>
      </c>
      <c r="E18" s="2493">
        <f t="shared" si="13"/>
        <v>6077</v>
      </c>
      <c r="F18" s="2493">
        <f t="shared" si="13"/>
        <v>145953</v>
      </c>
      <c r="G18" s="2493">
        <f t="shared" si="13"/>
        <v>383319</v>
      </c>
      <c r="H18" s="2494">
        <f t="shared" si="13"/>
        <v>265340</v>
      </c>
      <c r="I18" s="2492">
        <f t="shared" ref="I18:M18" si="14">I27</f>
        <v>796320</v>
      </c>
      <c r="J18" s="2493">
        <f t="shared" si="14"/>
        <v>6077</v>
      </c>
      <c r="K18" s="2493">
        <f t="shared" si="14"/>
        <v>141584</v>
      </c>
      <c r="L18" s="2493">
        <f t="shared" si="14"/>
        <v>383319</v>
      </c>
      <c r="M18" s="2494">
        <f t="shared" si="14"/>
        <v>265340</v>
      </c>
      <c r="N18" s="1315">
        <f>N27</f>
        <v>161483</v>
      </c>
      <c r="O18" s="2686">
        <f t="shared" si="6"/>
        <v>20.168005305430697</v>
      </c>
      <c r="P18" s="1318">
        <f>P27</f>
        <v>13822</v>
      </c>
      <c r="Q18" s="2686">
        <f t="shared" si="7"/>
        <v>3.6058739587654145</v>
      </c>
      <c r="R18" s="2496">
        <f t="shared" si="9"/>
        <v>-82007.75</v>
      </c>
      <c r="S18" s="3278"/>
      <c r="T18" s="300"/>
    </row>
    <row r="19" spans="1:20" ht="16.5" customHeight="1" x14ac:dyDescent="0.2">
      <c r="A19" s="2955"/>
      <c r="B19" s="565" t="s">
        <v>17</v>
      </c>
      <c r="C19" s="566"/>
      <c r="D19" s="2497">
        <f t="shared" ref="D19:P20" si="15">D20</f>
        <v>800689</v>
      </c>
      <c r="E19" s="2674">
        <f t="shared" si="15"/>
        <v>0</v>
      </c>
      <c r="F19" s="2674">
        <f t="shared" si="15"/>
        <v>0</v>
      </c>
      <c r="G19" s="2674">
        <f t="shared" si="15"/>
        <v>373390</v>
      </c>
      <c r="H19" s="2675">
        <f t="shared" si="15"/>
        <v>427299</v>
      </c>
      <c r="I19" s="2497">
        <f t="shared" si="15"/>
        <v>800689</v>
      </c>
      <c r="J19" s="2674">
        <f t="shared" si="15"/>
        <v>0</v>
      </c>
      <c r="K19" s="2674">
        <f t="shared" si="15"/>
        <v>0</v>
      </c>
      <c r="L19" s="2674">
        <f t="shared" si="15"/>
        <v>373390</v>
      </c>
      <c r="M19" s="2675">
        <f t="shared" si="15"/>
        <v>427299</v>
      </c>
      <c r="N19" s="2691">
        <f t="shared" si="15"/>
        <v>0</v>
      </c>
      <c r="O19" s="1192">
        <f t="shared" si="6"/>
        <v>0</v>
      </c>
      <c r="P19" s="2692">
        <f t="shared" si="15"/>
        <v>0</v>
      </c>
      <c r="Q19" s="1192">
        <f t="shared" si="7"/>
        <v>0</v>
      </c>
      <c r="R19" s="2679">
        <f t="shared" si="9"/>
        <v>-93347.5</v>
      </c>
      <c r="S19" s="3278"/>
      <c r="T19" s="300"/>
    </row>
    <row r="20" spans="1:20" ht="15" customHeight="1" x14ac:dyDescent="0.2">
      <c r="A20" s="2955"/>
      <c r="B20" s="590" t="s">
        <v>13</v>
      </c>
      <c r="C20" s="3283" t="s">
        <v>97</v>
      </c>
      <c r="D20" s="2502">
        <f t="shared" si="15"/>
        <v>800689</v>
      </c>
      <c r="E20" s="2693">
        <f t="shared" si="15"/>
        <v>0</v>
      </c>
      <c r="F20" s="2693">
        <f t="shared" si="15"/>
        <v>0</v>
      </c>
      <c r="G20" s="2693">
        <f t="shared" si="15"/>
        <v>373390</v>
      </c>
      <c r="H20" s="2694">
        <f t="shared" si="15"/>
        <v>427299</v>
      </c>
      <c r="I20" s="2502">
        <f t="shared" si="15"/>
        <v>800689</v>
      </c>
      <c r="J20" s="2693">
        <f t="shared" si="15"/>
        <v>0</v>
      </c>
      <c r="K20" s="2693">
        <f t="shared" si="15"/>
        <v>0</v>
      </c>
      <c r="L20" s="2693">
        <f t="shared" si="15"/>
        <v>373390</v>
      </c>
      <c r="M20" s="2694">
        <f t="shared" si="15"/>
        <v>427299</v>
      </c>
      <c r="N20" s="2695">
        <f t="shared" si="15"/>
        <v>0</v>
      </c>
      <c r="O20" s="2696">
        <f t="shared" si="6"/>
        <v>0</v>
      </c>
      <c r="P20" s="2697">
        <f t="shared" si="15"/>
        <v>0</v>
      </c>
      <c r="Q20" s="2696">
        <f t="shared" si="7"/>
        <v>0</v>
      </c>
      <c r="R20" s="2698">
        <f t="shared" si="9"/>
        <v>-93347.5</v>
      </c>
      <c r="S20" s="3278"/>
      <c r="T20" s="300"/>
    </row>
    <row r="21" spans="1:20" ht="15" customHeight="1" thickBot="1" x14ac:dyDescent="0.25">
      <c r="A21" s="2956"/>
      <c r="B21" s="2491" t="s">
        <v>15</v>
      </c>
      <c r="C21" s="3284"/>
      <c r="D21" s="2508">
        <f t="shared" ref="D21:F21" si="16">D30</f>
        <v>800689</v>
      </c>
      <c r="E21" s="2509">
        <f t="shared" si="16"/>
        <v>0</v>
      </c>
      <c r="F21" s="2509">
        <f t="shared" si="16"/>
        <v>0</v>
      </c>
      <c r="G21" s="2509">
        <f>G30</f>
        <v>373390</v>
      </c>
      <c r="H21" s="2510">
        <f t="shared" ref="H21" si="17">H30</f>
        <v>427299</v>
      </c>
      <c r="I21" s="2508">
        <f t="shared" ref="I21:M21" si="18">I30</f>
        <v>800689</v>
      </c>
      <c r="J21" s="2509">
        <f t="shared" si="18"/>
        <v>0</v>
      </c>
      <c r="K21" s="2509">
        <f t="shared" si="18"/>
        <v>0</v>
      </c>
      <c r="L21" s="2509">
        <f>L30</f>
        <v>373390</v>
      </c>
      <c r="M21" s="2510">
        <f t="shared" si="18"/>
        <v>427299</v>
      </c>
      <c r="N21" s="2699">
        <f>N30</f>
        <v>0</v>
      </c>
      <c r="O21" s="2700">
        <f t="shared" si="6"/>
        <v>0</v>
      </c>
      <c r="P21" s="2701">
        <f>P30</f>
        <v>0</v>
      </c>
      <c r="Q21" s="2700">
        <f t="shared" si="7"/>
        <v>0</v>
      </c>
      <c r="R21" s="2512">
        <f t="shared" si="9"/>
        <v>-93347.5</v>
      </c>
      <c r="S21" s="3279"/>
      <c r="T21" s="300"/>
    </row>
    <row r="22" spans="1:20" ht="39.75" customHeight="1" x14ac:dyDescent="0.2">
      <c r="A22" s="3285" t="s">
        <v>40</v>
      </c>
      <c r="B22" s="1806" t="s">
        <v>275</v>
      </c>
      <c r="C22" s="1807" t="s">
        <v>233</v>
      </c>
      <c r="D22" s="1808"/>
      <c r="E22" s="1810"/>
      <c r="F22" s="1810"/>
      <c r="G22" s="1810"/>
      <c r="H22" s="1811"/>
      <c r="I22" s="1808"/>
      <c r="J22" s="1810"/>
      <c r="K22" s="1810"/>
      <c r="L22" s="1810"/>
      <c r="M22" s="1811"/>
      <c r="N22" s="1812"/>
      <c r="O22" s="1813"/>
      <c r="P22" s="1814"/>
      <c r="Q22" s="1813"/>
      <c r="R22" s="2513"/>
      <c r="S22" s="3073" t="s">
        <v>276</v>
      </c>
      <c r="T22" s="300"/>
    </row>
    <row r="23" spans="1:20" ht="14.25" customHeight="1" x14ac:dyDescent="0.2">
      <c r="A23" s="3071"/>
      <c r="B23" s="1815" t="s">
        <v>3</v>
      </c>
      <c r="C23" s="1816"/>
      <c r="D23" s="1817">
        <f t="shared" ref="D23" si="19">+D24+D26</f>
        <v>941987</v>
      </c>
      <c r="E23" s="1823">
        <f>+E24+E26</f>
        <v>7150</v>
      </c>
      <c r="F23" s="1823">
        <f t="shared" ref="F23:H23" si="20">+F24+F26</f>
        <v>171710</v>
      </c>
      <c r="G23" s="1820">
        <f t="shared" si="20"/>
        <v>450963</v>
      </c>
      <c r="H23" s="1821">
        <f t="shared" si="20"/>
        <v>312164</v>
      </c>
      <c r="I23" s="1817">
        <f t="shared" ref="I23:N23" si="21">+I24+I26</f>
        <v>936846</v>
      </c>
      <c r="J23" s="1823">
        <f>+J24+J26</f>
        <v>7150</v>
      </c>
      <c r="K23" s="1823">
        <f t="shared" si="21"/>
        <v>166569</v>
      </c>
      <c r="L23" s="1820">
        <f t="shared" si="21"/>
        <v>450963</v>
      </c>
      <c r="M23" s="1821">
        <f t="shared" si="21"/>
        <v>312164</v>
      </c>
      <c r="N23" s="2514">
        <f t="shared" si="21"/>
        <v>189980</v>
      </c>
      <c r="O23" s="2515">
        <f t="shared" si="6"/>
        <v>20.168006564846436</v>
      </c>
      <c r="P23" s="1823">
        <f>P24+P26</f>
        <v>16261</v>
      </c>
      <c r="Q23" s="2515">
        <f t="shared" si="7"/>
        <v>3.6058390599672259</v>
      </c>
      <c r="R23" s="2516">
        <f t="shared" si="9"/>
        <v>-96479.75</v>
      </c>
      <c r="S23" s="3074"/>
      <c r="T23" s="300"/>
    </row>
    <row r="24" spans="1:20" ht="14.25" customHeight="1" x14ac:dyDescent="0.2">
      <c r="A24" s="3071"/>
      <c r="B24" s="1825" t="s">
        <v>18</v>
      </c>
      <c r="C24" s="3054" t="s">
        <v>277</v>
      </c>
      <c r="D24" s="774">
        <f t="shared" ref="D24:N24" si="22">+D25</f>
        <v>141298</v>
      </c>
      <c r="E24" s="775">
        <f t="shared" si="22"/>
        <v>1073</v>
      </c>
      <c r="F24" s="775">
        <f t="shared" si="22"/>
        <v>25757</v>
      </c>
      <c r="G24" s="775">
        <f t="shared" si="22"/>
        <v>67644</v>
      </c>
      <c r="H24" s="876">
        <f t="shared" si="22"/>
        <v>46824</v>
      </c>
      <c r="I24" s="774">
        <f t="shared" si="22"/>
        <v>140526</v>
      </c>
      <c r="J24" s="775">
        <f t="shared" si="22"/>
        <v>1073</v>
      </c>
      <c r="K24" s="776">
        <f t="shared" si="22"/>
        <v>24985</v>
      </c>
      <c r="L24" s="775">
        <f t="shared" si="22"/>
        <v>67644</v>
      </c>
      <c r="M24" s="876">
        <f t="shared" si="22"/>
        <v>46824</v>
      </c>
      <c r="N24" s="811">
        <f t="shared" si="22"/>
        <v>28497</v>
      </c>
      <c r="O24" s="2517">
        <f t="shared" si="6"/>
        <v>20.168013701538591</v>
      </c>
      <c r="P24" s="1826">
        <f>P25</f>
        <v>2439</v>
      </c>
      <c r="Q24" s="2517">
        <f t="shared" si="7"/>
        <v>3.6056412985630657</v>
      </c>
      <c r="R24" s="2518">
        <f t="shared" si="9"/>
        <v>-14472</v>
      </c>
      <c r="S24" s="3074"/>
      <c r="T24" s="300"/>
    </row>
    <row r="25" spans="1:20" ht="13.5" customHeight="1" x14ac:dyDescent="0.2">
      <c r="A25" s="3071"/>
      <c r="B25" s="696" t="s">
        <v>5</v>
      </c>
      <c r="C25" s="3055"/>
      <c r="D25" s="1827">
        <f>+E25+F25+G25+H25</f>
        <v>141298</v>
      </c>
      <c r="E25" s="699">
        <v>1073</v>
      </c>
      <c r="F25" s="699">
        <v>25757</v>
      </c>
      <c r="G25" s="699">
        <v>67644</v>
      </c>
      <c r="H25" s="1828">
        <v>46824</v>
      </c>
      <c r="I25" s="1827">
        <f>+J25+K25+L25+M25</f>
        <v>140526</v>
      </c>
      <c r="J25" s="699">
        <v>1073</v>
      </c>
      <c r="K25" s="699">
        <v>24985</v>
      </c>
      <c r="L25" s="699">
        <v>67644</v>
      </c>
      <c r="M25" s="1828">
        <v>46824</v>
      </c>
      <c r="N25" s="1829">
        <f>P25+J25+K25</f>
        <v>28497</v>
      </c>
      <c r="O25" s="2187">
        <f t="shared" si="6"/>
        <v>20.168013701538591</v>
      </c>
      <c r="P25" s="699">
        <v>2439</v>
      </c>
      <c r="Q25" s="2187">
        <f t="shared" si="7"/>
        <v>3.6056412985630657</v>
      </c>
      <c r="R25" s="2188">
        <f t="shared" si="9"/>
        <v>-14472</v>
      </c>
      <c r="S25" s="3074"/>
      <c r="T25" s="300"/>
    </row>
    <row r="26" spans="1:20" ht="14.25" customHeight="1" x14ac:dyDescent="0.2">
      <c r="A26" s="3071"/>
      <c r="B26" s="703" t="s">
        <v>13</v>
      </c>
      <c r="C26" s="3055"/>
      <c r="D26" s="704">
        <f t="shared" ref="D26:N26" si="23">+D27</f>
        <v>800689</v>
      </c>
      <c r="E26" s="821">
        <f t="shared" si="23"/>
        <v>6077</v>
      </c>
      <c r="F26" s="821">
        <f t="shared" si="23"/>
        <v>145953</v>
      </c>
      <c r="G26" s="821">
        <f t="shared" si="23"/>
        <v>383319</v>
      </c>
      <c r="H26" s="822">
        <f t="shared" si="23"/>
        <v>265340</v>
      </c>
      <c r="I26" s="704">
        <f t="shared" si="23"/>
        <v>796320</v>
      </c>
      <c r="J26" s="821">
        <f t="shared" si="23"/>
        <v>6077</v>
      </c>
      <c r="K26" s="1109">
        <f t="shared" si="23"/>
        <v>141584</v>
      </c>
      <c r="L26" s="821">
        <f t="shared" si="23"/>
        <v>383319</v>
      </c>
      <c r="M26" s="822">
        <f t="shared" si="23"/>
        <v>265340</v>
      </c>
      <c r="N26" s="847">
        <f t="shared" si="23"/>
        <v>161483</v>
      </c>
      <c r="O26" s="2190">
        <f t="shared" si="6"/>
        <v>20.168005305430697</v>
      </c>
      <c r="P26" s="1109">
        <f>P27</f>
        <v>13822</v>
      </c>
      <c r="Q26" s="2190">
        <f t="shared" si="7"/>
        <v>3.6058739587654145</v>
      </c>
      <c r="R26" s="2191">
        <f t="shared" si="9"/>
        <v>-82007.75</v>
      </c>
      <c r="S26" s="3074"/>
      <c r="T26" s="300"/>
    </row>
    <row r="27" spans="1:20" ht="13.5" customHeight="1" x14ac:dyDescent="0.2">
      <c r="A27" s="3071"/>
      <c r="B27" s="1830" t="s">
        <v>15</v>
      </c>
      <c r="C27" s="3076"/>
      <c r="D27" s="1827">
        <f>+E27+F27+G27+H27</f>
        <v>800689</v>
      </c>
      <c r="E27" s="699">
        <v>6077</v>
      </c>
      <c r="F27" s="699">
        <v>145953</v>
      </c>
      <c r="G27" s="1371">
        <v>383319</v>
      </c>
      <c r="H27" s="1358">
        <v>265340</v>
      </c>
      <c r="I27" s="1827">
        <f>+J27+K27+L27+M27</f>
        <v>796320</v>
      </c>
      <c r="J27" s="699">
        <v>6077</v>
      </c>
      <c r="K27" s="699">
        <v>141584</v>
      </c>
      <c r="L27" s="1371">
        <v>383319</v>
      </c>
      <c r="M27" s="1358">
        <v>265340</v>
      </c>
      <c r="N27" s="1829">
        <f>P27+J27+K27</f>
        <v>161483</v>
      </c>
      <c r="O27" s="2187">
        <f t="shared" si="6"/>
        <v>20.168005305430697</v>
      </c>
      <c r="P27" s="1833">
        <v>13822</v>
      </c>
      <c r="Q27" s="2187">
        <f t="shared" si="7"/>
        <v>3.6058739587654145</v>
      </c>
      <c r="R27" s="2519">
        <f t="shared" si="9"/>
        <v>-82007.75</v>
      </c>
      <c r="S27" s="3074"/>
      <c r="T27" s="300"/>
    </row>
    <row r="28" spans="1:20" ht="18.75" customHeight="1" x14ac:dyDescent="0.2">
      <c r="A28" s="3071"/>
      <c r="B28" s="565" t="s">
        <v>17</v>
      </c>
      <c r="C28" s="1816"/>
      <c r="D28" s="1834">
        <f>+D29</f>
        <v>800689</v>
      </c>
      <c r="E28" s="1818">
        <f t="shared" ref="E28:H29" si="24">+E29</f>
        <v>0</v>
      </c>
      <c r="F28" s="1818">
        <f t="shared" si="24"/>
        <v>0</v>
      </c>
      <c r="G28" s="2702">
        <f t="shared" si="24"/>
        <v>373390</v>
      </c>
      <c r="H28" s="2703">
        <f t="shared" si="24"/>
        <v>427299</v>
      </c>
      <c r="I28" s="1834">
        <f>+I29</f>
        <v>800689</v>
      </c>
      <c r="J28" s="1818">
        <f t="shared" ref="J28:M29" si="25">+J29</f>
        <v>0</v>
      </c>
      <c r="K28" s="1818">
        <f t="shared" si="25"/>
        <v>0</v>
      </c>
      <c r="L28" s="2702">
        <f t="shared" si="25"/>
        <v>373390</v>
      </c>
      <c r="M28" s="2703">
        <f t="shared" si="25"/>
        <v>427299</v>
      </c>
      <c r="N28" s="2704">
        <f>N29</f>
        <v>0</v>
      </c>
      <c r="O28" s="2520">
        <f t="shared" si="6"/>
        <v>0</v>
      </c>
      <c r="P28" s="828">
        <f>P29</f>
        <v>0</v>
      </c>
      <c r="Q28" s="2520">
        <f t="shared" si="7"/>
        <v>0</v>
      </c>
      <c r="R28" s="2705">
        <f t="shared" si="9"/>
        <v>-93347.5</v>
      </c>
      <c r="S28" s="3074"/>
      <c r="T28" s="300"/>
    </row>
    <row r="29" spans="1:20" ht="12.75" customHeight="1" x14ac:dyDescent="0.2">
      <c r="A29" s="3071"/>
      <c r="B29" s="703" t="s">
        <v>13</v>
      </c>
      <c r="C29" s="3077" t="s">
        <v>278</v>
      </c>
      <c r="D29" s="1837">
        <f>+D30</f>
        <v>800689</v>
      </c>
      <c r="E29" s="706">
        <f t="shared" si="24"/>
        <v>0</v>
      </c>
      <c r="F29" s="706">
        <f t="shared" si="24"/>
        <v>0</v>
      </c>
      <c r="G29" s="705">
        <f t="shared" si="24"/>
        <v>373390</v>
      </c>
      <c r="H29" s="831">
        <f t="shared" si="24"/>
        <v>427299</v>
      </c>
      <c r="I29" s="1837">
        <f>+I30</f>
        <v>800689</v>
      </c>
      <c r="J29" s="706">
        <f t="shared" si="25"/>
        <v>0</v>
      </c>
      <c r="K29" s="706">
        <f t="shared" si="25"/>
        <v>0</v>
      </c>
      <c r="L29" s="705">
        <f t="shared" si="25"/>
        <v>373390</v>
      </c>
      <c r="M29" s="831">
        <f t="shared" si="25"/>
        <v>427299</v>
      </c>
      <c r="N29" s="811">
        <f>N30</f>
        <v>0</v>
      </c>
      <c r="O29" s="2517">
        <f t="shared" si="6"/>
        <v>0</v>
      </c>
      <c r="P29" s="869">
        <f>P30</f>
        <v>0</v>
      </c>
      <c r="Q29" s="2517">
        <f t="shared" si="7"/>
        <v>0</v>
      </c>
      <c r="R29" s="2522">
        <f t="shared" si="9"/>
        <v>-93347.5</v>
      </c>
      <c r="S29" s="3074"/>
      <c r="T29" s="300"/>
    </row>
    <row r="30" spans="1:20" ht="15.75" customHeight="1" thickBot="1" x14ac:dyDescent="0.25">
      <c r="A30" s="3072"/>
      <c r="B30" s="2706" t="s">
        <v>15</v>
      </c>
      <c r="C30" s="3056"/>
      <c r="D30" s="718">
        <f>+E30+F30+G30+H30</f>
        <v>800689</v>
      </c>
      <c r="E30" s="719">
        <v>0</v>
      </c>
      <c r="F30" s="719">
        <v>0</v>
      </c>
      <c r="G30" s="720">
        <v>373390</v>
      </c>
      <c r="H30" s="2571">
        <f>294629+132670</f>
        <v>427299</v>
      </c>
      <c r="I30" s="718">
        <f>+J30+K30+L30+M30</f>
        <v>800689</v>
      </c>
      <c r="J30" s="719">
        <v>0</v>
      </c>
      <c r="K30" s="719">
        <v>0</v>
      </c>
      <c r="L30" s="720">
        <v>373390</v>
      </c>
      <c r="M30" s="2571">
        <f>294629+132670</f>
        <v>427299</v>
      </c>
      <c r="N30" s="1844">
        <f>P30+J30+K30</f>
        <v>0</v>
      </c>
      <c r="O30" s="723">
        <f t="shared" si="6"/>
        <v>0</v>
      </c>
      <c r="P30" s="720">
        <v>0</v>
      </c>
      <c r="Q30" s="723">
        <f t="shared" si="7"/>
        <v>0</v>
      </c>
      <c r="R30" s="2217">
        <f t="shared" si="9"/>
        <v>-93347.5</v>
      </c>
      <c r="S30" s="3075"/>
      <c r="T30" s="300"/>
    </row>
    <row r="31" spans="1:20" x14ac:dyDescent="0.2">
      <c r="E31" s="1751"/>
      <c r="F31" s="1751"/>
      <c r="G31" s="1751"/>
      <c r="H31" s="1751"/>
      <c r="I31" s="1751"/>
      <c r="J31" s="1751"/>
      <c r="K31" s="1751"/>
      <c r="L31" s="1751"/>
      <c r="M31" s="1751"/>
      <c r="N31" s="1751"/>
      <c r="O31" s="1751"/>
      <c r="S31" s="1938"/>
    </row>
    <row r="32" spans="1:20" x14ac:dyDescent="0.2">
      <c r="E32" s="1751"/>
      <c r="F32" s="1751"/>
      <c r="G32" s="1751"/>
      <c r="H32" s="1751"/>
      <c r="I32" s="1751"/>
      <c r="J32" s="1751"/>
      <c r="K32" s="1751"/>
      <c r="L32" s="1751"/>
      <c r="M32" s="1751"/>
      <c r="N32" s="1751"/>
      <c r="O32" s="1751"/>
      <c r="S32" s="1938"/>
    </row>
    <row r="33" spans="5:19" x14ac:dyDescent="0.2">
      <c r="E33" s="1751"/>
      <c r="F33" s="1751"/>
      <c r="G33" s="1751"/>
      <c r="H33" s="1751"/>
      <c r="I33" s="1751"/>
      <c r="J33" s="1751"/>
      <c r="K33" s="1751"/>
      <c r="L33" s="1751"/>
      <c r="M33" s="1751"/>
      <c r="N33" s="1751"/>
      <c r="O33" s="1751"/>
      <c r="S33" s="1938"/>
    </row>
    <row r="34" spans="5:19" x14ac:dyDescent="0.2">
      <c r="E34" s="1751"/>
      <c r="F34" s="1751"/>
      <c r="G34" s="1751"/>
      <c r="H34" s="1751"/>
      <c r="I34" s="1751"/>
      <c r="J34" s="1751"/>
      <c r="K34" s="1751"/>
      <c r="L34" s="1751"/>
      <c r="M34" s="1751"/>
      <c r="N34" s="1751"/>
      <c r="O34" s="1751"/>
      <c r="S34" s="1938"/>
    </row>
    <row r="35" spans="5:19" x14ac:dyDescent="0.2">
      <c r="E35" s="1751"/>
      <c r="F35" s="1751"/>
      <c r="G35" s="1751"/>
      <c r="H35" s="1751"/>
      <c r="I35" s="1751"/>
      <c r="J35" s="1751"/>
      <c r="K35" s="1751"/>
      <c r="L35" s="1751"/>
      <c r="M35" s="1751"/>
      <c r="N35" s="1751"/>
      <c r="O35" s="1751"/>
      <c r="S35" s="1938"/>
    </row>
    <row r="36" spans="5:19" x14ac:dyDescent="0.2">
      <c r="E36" s="1751"/>
      <c r="F36" s="1751"/>
      <c r="G36" s="1751"/>
      <c r="H36" s="1751"/>
      <c r="I36" s="1751"/>
      <c r="J36" s="1751"/>
      <c r="K36" s="1751"/>
      <c r="L36" s="1751"/>
      <c r="M36" s="1751"/>
      <c r="N36" s="1751"/>
      <c r="O36" s="1751"/>
      <c r="S36" s="1938"/>
    </row>
    <row r="37" spans="5:19" x14ac:dyDescent="0.2">
      <c r="E37" s="1751"/>
      <c r="F37" s="1751"/>
      <c r="G37" s="1751"/>
      <c r="H37" s="1751"/>
      <c r="I37" s="1751"/>
      <c r="J37" s="1751"/>
      <c r="K37" s="1751"/>
      <c r="L37" s="1751"/>
      <c r="M37" s="1751"/>
      <c r="N37" s="1751"/>
      <c r="O37" s="1751"/>
      <c r="S37" s="1938"/>
    </row>
    <row r="38" spans="5:19" x14ac:dyDescent="0.2">
      <c r="E38" s="1751"/>
      <c r="F38" s="1751"/>
      <c r="G38" s="1751"/>
      <c r="H38" s="1751"/>
      <c r="I38" s="1751"/>
      <c r="J38" s="1751"/>
      <c r="K38" s="1751"/>
      <c r="L38" s="1751"/>
      <c r="M38" s="1751"/>
      <c r="N38" s="1751"/>
      <c r="O38" s="1751"/>
      <c r="S38" s="1938"/>
    </row>
    <row r="39" spans="5:19" x14ac:dyDescent="0.2">
      <c r="E39" s="1751"/>
      <c r="F39" s="1751"/>
      <c r="G39" s="1751"/>
      <c r="H39" s="1751"/>
      <c r="I39" s="1751"/>
      <c r="J39" s="1751"/>
      <c r="K39" s="1751"/>
      <c r="L39" s="1751"/>
      <c r="M39" s="1751"/>
      <c r="N39" s="1751"/>
      <c r="O39" s="1751"/>
      <c r="S39" s="1938"/>
    </row>
    <row r="40" spans="5:19" x14ac:dyDescent="0.2">
      <c r="E40" s="1751"/>
      <c r="F40" s="1751"/>
      <c r="G40" s="1751"/>
      <c r="H40" s="1751"/>
      <c r="I40" s="1751"/>
      <c r="J40" s="1751"/>
      <c r="K40" s="1751"/>
      <c r="L40" s="1751"/>
      <c r="M40" s="1751"/>
      <c r="N40" s="1751"/>
      <c r="O40" s="1751"/>
      <c r="S40" s="1938"/>
    </row>
    <row r="41" spans="5:19" x14ac:dyDescent="0.2">
      <c r="E41" s="1751"/>
      <c r="F41" s="1751"/>
      <c r="G41" s="1751"/>
      <c r="H41" s="1751"/>
      <c r="I41" s="1751"/>
      <c r="J41" s="1751"/>
      <c r="K41" s="1751"/>
      <c r="L41" s="1751"/>
      <c r="M41" s="1751"/>
      <c r="N41" s="1751"/>
      <c r="O41" s="1751"/>
      <c r="S41" s="1938"/>
    </row>
    <row r="42" spans="5:19" x14ac:dyDescent="0.2">
      <c r="E42" s="1751"/>
      <c r="F42" s="1751"/>
      <c r="G42" s="1751"/>
      <c r="H42" s="1751"/>
      <c r="I42" s="1751"/>
      <c r="J42" s="1751"/>
      <c r="K42" s="1751"/>
      <c r="L42" s="1751"/>
      <c r="M42" s="1751"/>
      <c r="N42" s="1751"/>
      <c r="O42" s="1751"/>
      <c r="S42" s="1938"/>
    </row>
    <row r="43" spans="5:19" x14ac:dyDescent="0.2">
      <c r="E43" s="1751"/>
      <c r="F43" s="1751"/>
      <c r="G43" s="1751"/>
      <c r="H43" s="1751"/>
      <c r="I43" s="1751"/>
      <c r="J43" s="1751"/>
      <c r="K43" s="1751"/>
      <c r="L43" s="1751"/>
      <c r="M43" s="1751"/>
      <c r="N43" s="1751"/>
      <c r="O43" s="1751"/>
      <c r="S43" s="1938"/>
    </row>
    <row r="44" spans="5:19" x14ac:dyDescent="0.2">
      <c r="E44" s="1751"/>
      <c r="F44" s="1751"/>
      <c r="G44" s="1751"/>
      <c r="H44" s="1751"/>
      <c r="I44" s="1751"/>
      <c r="J44" s="1751"/>
      <c r="K44" s="1751"/>
      <c r="L44" s="1751"/>
      <c r="M44" s="1751"/>
      <c r="N44" s="1751"/>
      <c r="O44" s="1751"/>
      <c r="S44" s="1938"/>
    </row>
    <row r="45" spans="5:19" x14ac:dyDescent="0.2">
      <c r="E45" s="1751"/>
      <c r="F45" s="1751"/>
      <c r="G45" s="1751"/>
      <c r="H45" s="1751"/>
      <c r="I45" s="1751"/>
      <c r="J45" s="1751"/>
      <c r="K45" s="1751"/>
      <c r="L45" s="1751"/>
      <c r="M45" s="1751"/>
      <c r="N45" s="1751"/>
      <c r="O45" s="1751"/>
      <c r="S45" s="1938"/>
    </row>
    <row r="46" spans="5:19" x14ac:dyDescent="0.2">
      <c r="E46" s="1751"/>
      <c r="F46" s="1751"/>
      <c r="G46" s="1751"/>
      <c r="H46" s="1751"/>
      <c r="I46" s="1751"/>
      <c r="J46" s="1751"/>
      <c r="K46" s="1751"/>
      <c r="L46" s="1751"/>
      <c r="M46" s="1751"/>
      <c r="N46" s="1751"/>
      <c r="O46" s="1751"/>
      <c r="S46" s="1938"/>
    </row>
    <row r="47" spans="5:19" x14ac:dyDescent="0.2">
      <c r="E47" s="1751"/>
      <c r="F47" s="1751"/>
      <c r="G47" s="1751"/>
      <c r="H47" s="1751"/>
      <c r="I47" s="1751"/>
      <c r="J47" s="1751"/>
      <c r="K47" s="1751"/>
      <c r="L47" s="1751"/>
      <c r="M47" s="1751"/>
      <c r="N47" s="1751"/>
      <c r="O47" s="1751"/>
      <c r="S47" s="1938"/>
    </row>
    <row r="48" spans="5:19" x14ac:dyDescent="0.2">
      <c r="E48" s="1751"/>
      <c r="F48" s="1751"/>
      <c r="G48" s="1751"/>
      <c r="H48" s="1751"/>
      <c r="I48" s="1751"/>
      <c r="J48" s="1751"/>
      <c r="K48" s="1751"/>
      <c r="L48" s="1751"/>
      <c r="M48" s="1751"/>
      <c r="N48" s="1751"/>
      <c r="O48" s="1751"/>
      <c r="S48" s="1938"/>
    </row>
    <row r="49" spans="5:19" x14ac:dyDescent="0.2">
      <c r="E49" s="1751"/>
      <c r="F49" s="1751"/>
      <c r="G49" s="1751"/>
      <c r="H49" s="1751"/>
      <c r="I49" s="1751"/>
      <c r="J49" s="1751"/>
      <c r="K49" s="1751"/>
      <c r="L49" s="1751"/>
      <c r="M49" s="1751"/>
      <c r="N49" s="1751"/>
      <c r="O49" s="1751"/>
      <c r="S49" s="1938"/>
    </row>
    <row r="50" spans="5:19" x14ac:dyDescent="0.2">
      <c r="E50" s="1751"/>
      <c r="F50" s="1751"/>
      <c r="G50" s="1751"/>
      <c r="H50" s="1751"/>
      <c r="I50" s="1751"/>
      <c r="J50" s="1751"/>
      <c r="K50" s="1751"/>
      <c r="L50" s="1751"/>
      <c r="M50" s="1751"/>
      <c r="N50" s="1751"/>
      <c r="O50" s="1751"/>
      <c r="S50" s="1938"/>
    </row>
    <row r="51" spans="5:19" x14ac:dyDescent="0.2">
      <c r="E51" s="1751"/>
      <c r="F51" s="1751"/>
      <c r="G51" s="1751"/>
      <c r="H51" s="1751"/>
      <c r="I51" s="1751"/>
      <c r="J51" s="1751"/>
      <c r="K51" s="1751"/>
      <c r="L51" s="1751"/>
      <c r="M51" s="1751"/>
      <c r="N51" s="1751"/>
      <c r="O51" s="1751"/>
      <c r="S51" s="1938"/>
    </row>
    <row r="52" spans="5:19" x14ac:dyDescent="0.2">
      <c r="E52" s="1751"/>
      <c r="F52" s="1751"/>
      <c r="G52" s="1751"/>
      <c r="H52" s="1751"/>
      <c r="I52" s="1751"/>
      <c r="J52" s="1751"/>
      <c r="K52" s="1751"/>
      <c r="L52" s="1751"/>
      <c r="M52" s="1751"/>
      <c r="N52" s="1751"/>
      <c r="O52" s="1751"/>
      <c r="S52" s="1938"/>
    </row>
    <row r="53" spans="5:19" x14ac:dyDescent="0.2">
      <c r="E53" s="1751"/>
      <c r="F53" s="1751"/>
      <c r="G53" s="1751"/>
      <c r="H53" s="1751"/>
      <c r="I53" s="1751"/>
      <c r="J53" s="1751"/>
      <c r="K53" s="1751"/>
      <c r="L53" s="1751"/>
      <c r="M53" s="1751"/>
      <c r="N53" s="1751"/>
      <c r="O53" s="1751"/>
      <c r="S53" s="1938"/>
    </row>
    <row r="54" spans="5:19" x14ac:dyDescent="0.2">
      <c r="E54" s="1751"/>
      <c r="F54" s="1751"/>
      <c r="G54" s="1751"/>
      <c r="H54" s="1751"/>
      <c r="I54" s="1751"/>
      <c r="J54" s="1751"/>
      <c r="K54" s="1751"/>
      <c r="L54" s="1751"/>
      <c r="M54" s="1751"/>
      <c r="N54" s="1751"/>
      <c r="O54" s="1751"/>
      <c r="S54" s="1938"/>
    </row>
    <row r="55" spans="5:19" x14ac:dyDescent="0.2">
      <c r="E55" s="1751"/>
      <c r="F55" s="1751"/>
      <c r="G55" s="1751"/>
      <c r="H55" s="1751"/>
      <c r="I55" s="1751"/>
      <c r="J55" s="1751"/>
      <c r="K55" s="1751"/>
      <c r="L55" s="1751"/>
      <c r="M55" s="1751"/>
      <c r="N55" s="1751"/>
      <c r="O55" s="1751"/>
      <c r="S55" s="1938"/>
    </row>
    <row r="56" spans="5:19" x14ac:dyDescent="0.2">
      <c r="E56" s="1751"/>
      <c r="F56" s="1751"/>
      <c r="G56" s="1751"/>
      <c r="H56" s="1751"/>
      <c r="I56" s="1751"/>
      <c r="J56" s="1751"/>
      <c r="K56" s="1751"/>
      <c r="L56" s="1751"/>
      <c r="M56" s="1751"/>
      <c r="N56" s="1751"/>
      <c r="O56" s="1751"/>
      <c r="S56" s="1938"/>
    </row>
    <row r="57" spans="5:19" x14ac:dyDescent="0.2">
      <c r="E57" s="1751"/>
      <c r="F57" s="1751"/>
      <c r="G57" s="1751"/>
      <c r="H57" s="1751"/>
      <c r="I57" s="1751"/>
      <c r="J57" s="1751"/>
      <c r="K57" s="1751"/>
      <c r="L57" s="1751"/>
      <c r="M57" s="1751"/>
      <c r="N57" s="1751"/>
      <c r="O57" s="1751"/>
      <c r="S57" s="1938"/>
    </row>
    <row r="58" spans="5:19" x14ac:dyDescent="0.2">
      <c r="E58" s="1751"/>
      <c r="F58" s="1751"/>
      <c r="G58" s="1751"/>
      <c r="H58" s="1751"/>
      <c r="I58" s="1751"/>
      <c r="J58" s="1751"/>
      <c r="K58" s="1751"/>
      <c r="L58" s="1751"/>
      <c r="M58" s="1751"/>
      <c r="N58" s="1751"/>
      <c r="O58" s="1751"/>
      <c r="S58" s="1938"/>
    </row>
    <row r="59" spans="5:19" x14ac:dyDescent="0.2">
      <c r="E59" s="1751"/>
      <c r="F59" s="1751"/>
      <c r="G59" s="1751"/>
      <c r="H59" s="1751"/>
      <c r="I59" s="1751"/>
      <c r="J59" s="1751"/>
      <c r="K59" s="1751"/>
      <c r="L59" s="1751"/>
      <c r="M59" s="1751"/>
      <c r="N59" s="1751"/>
      <c r="O59" s="1751"/>
      <c r="S59" s="1938"/>
    </row>
    <row r="60" spans="5:19" x14ac:dyDescent="0.2">
      <c r="E60" s="1751"/>
      <c r="F60" s="1751"/>
      <c r="G60" s="1751"/>
      <c r="H60" s="1751"/>
      <c r="I60" s="1751"/>
      <c r="J60" s="1751"/>
      <c r="K60" s="1751"/>
      <c r="L60" s="1751"/>
      <c r="M60" s="1751"/>
      <c r="N60" s="1751"/>
      <c r="O60" s="1751"/>
      <c r="S60" s="1938"/>
    </row>
    <row r="61" spans="5:19" x14ac:dyDescent="0.2">
      <c r="E61" s="1751"/>
      <c r="F61" s="1751"/>
      <c r="G61" s="1751"/>
      <c r="H61" s="1751"/>
      <c r="I61" s="1751"/>
      <c r="J61" s="1751"/>
      <c r="K61" s="1751"/>
      <c r="L61" s="1751"/>
      <c r="M61" s="1751"/>
      <c r="N61" s="1751"/>
      <c r="O61" s="1751"/>
      <c r="S61" s="1938"/>
    </row>
    <row r="62" spans="5:19" x14ac:dyDescent="0.2">
      <c r="E62" s="1751"/>
      <c r="F62" s="1751"/>
      <c r="G62" s="1751"/>
      <c r="H62" s="1751"/>
      <c r="I62" s="1751"/>
      <c r="J62" s="1751"/>
      <c r="K62" s="1751"/>
      <c r="L62" s="1751"/>
      <c r="M62" s="1751"/>
      <c r="N62" s="1751"/>
      <c r="O62" s="1751"/>
      <c r="S62" s="1938"/>
    </row>
    <row r="63" spans="5:19" x14ac:dyDescent="0.2">
      <c r="E63" s="1751"/>
      <c r="F63" s="1751"/>
      <c r="G63" s="1751"/>
      <c r="H63" s="1751"/>
      <c r="I63" s="1751"/>
      <c r="J63" s="1751"/>
      <c r="K63" s="1751"/>
      <c r="L63" s="1751"/>
      <c r="M63" s="1751"/>
      <c r="N63" s="1751"/>
      <c r="O63" s="1751"/>
      <c r="S63" s="1938"/>
    </row>
    <row r="64" spans="5:19" x14ac:dyDescent="0.2">
      <c r="E64" s="1751"/>
      <c r="F64" s="1751"/>
      <c r="G64" s="1751"/>
      <c r="H64" s="1751"/>
      <c r="I64" s="1751"/>
      <c r="J64" s="1751"/>
      <c r="K64" s="1751"/>
      <c r="L64" s="1751"/>
      <c r="M64" s="1751"/>
      <c r="N64" s="1751"/>
      <c r="O64" s="1751"/>
      <c r="S64" s="1938"/>
    </row>
    <row r="65" spans="5:19" x14ac:dyDescent="0.2">
      <c r="E65" s="1751"/>
      <c r="F65" s="1751"/>
      <c r="G65" s="1751"/>
      <c r="H65" s="1751"/>
      <c r="I65" s="1751"/>
      <c r="J65" s="1751"/>
      <c r="K65" s="1751"/>
      <c r="L65" s="1751"/>
      <c r="M65" s="1751"/>
      <c r="N65" s="1751"/>
      <c r="O65" s="1751"/>
      <c r="S65" s="1938"/>
    </row>
    <row r="66" spans="5:19" x14ac:dyDescent="0.2">
      <c r="E66" s="1751"/>
      <c r="F66" s="1751"/>
      <c r="G66" s="1751"/>
      <c r="H66" s="1751"/>
      <c r="I66" s="1751"/>
      <c r="J66" s="1751"/>
      <c r="K66" s="1751"/>
      <c r="L66" s="1751"/>
      <c r="M66" s="1751"/>
      <c r="N66" s="1751"/>
      <c r="O66" s="1751"/>
      <c r="S66" s="1938"/>
    </row>
    <row r="67" spans="5:19" x14ac:dyDescent="0.2">
      <c r="E67" s="1751"/>
      <c r="F67" s="1751"/>
      <c r="G67" s="1751"/>
      <c r="H67" s="1751"/>
      <c r="I67" s="1751"/>
      <c r="J67" s="1751"/>
      <c r="K67" s="1751"/>
      <c r="L67" s="1751"/>
      <c r="M67" s="1751"/>
      <c r="N67" s="1751"/>
      <c r="O67" s="1751"/>
      <c r="S67" s="1938"/>
    </row>
    <row r="68" spans="5:19" x14ac:dyDescent="0.2">
      <c r="E68" s="1751"/>
      <c r="F68" s="1751"/>
      <c r="G68" s="1751"/>
      <c r="H68" s="1751"/>
      <c r="I68" s="1751"/>
      <c r="J68" s="1751"/>
      <c r="K68" s="1751"/>
      <c r="L68" s="1751"/>
      <c r="M68" s="1751"/>
      <c r="N68" s="1751"/>
      <c r="O68" s="1751"/>
      <c r="S68" s="1938"/>
    </row>
    <row r="69" spans="5:19" x14ac:dyDescent="0.2">
      <c r="E69" s="1751"/>
      <c r="F69" s="1751"/>
      <c r="G69" s="1751"/>
      <c r="H69" s="1751"/>
      <c r="I69" s="1751"/>
      <c r="J69" s="1751"/>
      <c r="K69" s="1751"/>
      <c r="L69" s="1751"/>
      <c r="M69" s="1751"/>
      <c r="N69" s="1751"/>
      <c r="O69" s="1751"/>
      <c r="S69" s="1938"/>
    </row>
    <row r="70" spans="5:19" x14ac:dyDescent="0.2">
      <c r="E70" s="1751"/>
      <c r="F70" s="1751"/>
      <c r="G70" s="1751"/>
      <c r="H70" s="1751"/>
      <c r="I70" s="1751"/>
      <c r="J70" s="1751"/>
      <c r="K70" s="1751"/>
      <c r="L70" s="1751"/>
      <c r="M70" s="1751"/>
      <c r="N70" s="1751"/>
      <c r="O70" s="1751"/>
      <c r="S70" s="1938"/>
    </row>
    <row r="71" spans="5:19" x14ac:dyDescent="0.2">
      <c r="E71" s="1751"/>
      <c r="F71" s="1751"/>
      <c r="G71" s="1751"/>
      <c r="H71" s="1751"/>
      <c r="I71" s="1751"/>
      <c r="J71" s="1751"/>
      <c r="K71" s="1751"/>
      <c r="L71" s="1751"/>
      <c r="M71" s="1751"/>
      <c r="N71" s="1751"/>
      <c r="O71" s="1751"/>
      <c r="S71" s="1938"/>
    </row>
    <row r="72" spans="5:19" x14ac:dyDescent="0.2">
      <c r="E72" s="1751"/>
      <c r="F72" s="1751"/>
      <c r="G72" s="1751"/>
      <c r="H72" s="1751"/>
      <c r="I72" s="1751"/>
      <c r="J72" s="1751"/>
      <c r="K72" s="1751"/>
      <c r="L72" s="1751"/>
      <c r="M72" s="1751"/>
      <c r="N72" s="1751"/>
      <c r="O72" s="1751"/>
      <c r="S72" s="1938"/>
    </row>
    <row r="73" spans="5:19" x14ac:dyDescent="0.2">
      <c r="E73" s="1751"/>
      <c r="F73" s="1751"/>
      <c r="G73" s="1751"/>
      <c r="H73" s="1751"/>
      <c r="I73" s="1751"/>
      <c r="J73" s="1751"/>
      <c r="K73" s="1751"/>
      <c r="L73" s="1751"/>
      <c r="M73" s="1751"/>
      <c r="N73" s="1751"/>
      <c r="O73" s="1751"/>
      <c r="S73" s="1938"/>
    </row>
    <row r="74" spans="5:19" x14ac:dyDescent="0.2">
      <c r="E74" s="1751"/>
      <c r="F74" s="1751"/>
      <c r="G74" s="1751"/>
      <c r="H74" s="1751"/>
      <c r="I74" s="1751"/>
      <c r="J74" s="1751"/>
      <c r="K74" s="1751"/>
      <c r="L74" s="1751"/>
      <c r="M74" s="1751"/>
      <c r="N74" s="1751"/>
      <c r="O74" s="1751"/>
      <c r="S74" s="1938"/>
    </row>
    <row r="75" spans="5:19" x14ac:dyDescent="0.2">
      <c r="E75" s="1751"/>
      <c r="F75" s="1751"/>
      <c r="G75" s="1751"/>
      <c r="H75" s="1751"/>
      <c r="I75" s="1751"/>
      <c r="J75" s="1751"/>
      <c r="K75" s="1751"/>
      <c r="L75" s="1751"/>
      <c r="M75" s="1751"/>
      <c r="N75" s="1751"/>
      <c r="O75" s="1751"/>
      <c r="S75" s="1938"/>
    </row>
    <row r="76" spans="5:19" x14ac:dyDescent="0.2">
      <c r="E76" s="1751"/>
      <c r="F76" s="1751"/>
      <c r="G76" s="1751"/>
      <c r="H76" s="1751"/>
      <c r="I76" s="1751"/>
      <c r="J76" s="1751"/>
      <c r="K76" s="1751"/>
      <c r="L76" s="1751"/>
      <c r="M76" s="1751"/>
      <c r="N76" s="1751"/>
      <c r="O76" s="1751"/>
      <c r="S76" s="1938"/>
    </row>
    <row r="77" spans="5:19" x14ac:dyDescent="0.2">
      <c r="E77" s="1751"/>
      <c r="F77" s="1751"/>
      <c r="G77" s="1751"/>
      <c r="H77" s="1751"/>
      <c r="I77" s="1751"/>
      <c r="J77" s="1751"/>
      <c r="K77" s="1751"/>
      <c r="L77" s="1751"/>
      <c r="M77" s="1751"/>
      <c r="N77" s="1751"/>
      <c r="O77" s="1751"/>
      <c r="S77" s="1938"/>
    </row>
    <row r="78" spans="5:19" x14ac:dyDescent="0.2">
      <c r="E78" s="1751"/>
      <c r="F78" s="1751"/>
      <c r="G78" s="1751"/>
      <c r="H78" s="1751"/>
      <c r="I78" s="1751"/>
      <c r="J78" s="1751"/>
      <c r="K78" s="1751"/>
      <c r="L78" s="1751"/>
      <c r="M78" s="1751"/>
      <c r="N78" s="1751"/>
      <c r="O78" s="1751"/>
      <c r="S78" s="1938"/>
    </row>
    <row r="79" spans="5:19" x14ac:dyDescent="0.2">
      <c r="E79" s="1751"/>
      <c r="F79" s="1751"/>
      <c r="G79" s="1751"/>
      <c r="H79" s="1751"/>
      <c r="I79" s="1751"/>
      <c r="J79" s="1751"/>
      <c r="K79" s="1751"/>
      <c r="L79" s="1751"/>
      <c r="M79" s="1751"/>
      <c r="N79" s="1751"/>
      <c r="O79" s="1751"/>
      <c r="S79" s="1938"/>
    </row>
    <row r="80" spans="5:19" x14ac:dyDescent="0.2">
      <c r="E80" s="1751"/>
      <c r="F80" s="1751"/>
      <c r="G80" s="1751"/>
      <c r="H80" s="1751"/>
      <c r="I80" s="1751"/>
      <c r="J80" s="1751"/>
      <c r="K80" s="1751"/>
      <c r="L80" s="1751"/>
      <c r="M80" s="1751"/>
      <c r="N80" s="1751"/>
      <c r="O80" s="1751"/>
      <c r="S80" s="1938"/>
    </row>
    <row r="81" spans="5:19" x14ac:dyDescent="0.2">
      <c r="E81" s="1751"/>
      <c r="F81" s="1751"/>
      <c r="G81" s="1751"/>
      <c r="H81" s="1751"/>
      <c r="I81" s="1751"/>
      <c r="J81" s="1751"/>
      <c r="K81" s="1751"/>
      <c r="L81" s="1751"/>
      <c r="M81" s="1751"/>
      <c r="N81" s="1751"/>
      <c r="O81" s="1751"/>
      <c r="S81" s="1938"/>
    </row>
    <row r="82" spans="5:19" x14ac:dyDescent="0.2">
      <c r="E82" s="1751"/>
      <c r="F82" s="1751"/>
      <c r="G82" s="1751"/>
      <c r="H82" s="1751"/>
      <c r="I82" s="1751"/>
      <c r="J82" s="1751"/>
      <c r="K82" s="1751"/>
      <c r="L82" s="1751"/>
      <c r="M82" s="1751"/>
      <c r="N82" s="1751"/>
      <c r="O82" s="1751"/>
      <c r="S82" s="1938"/>
    </row>
    <row r="83" spans="5:19" x14ac:dyDescent="0.2">
      <c r="E83" s="1751"/>
      <c r="F83" s="1751"/>
      <c r="G83" s="1751"/>
      <c r="H83" s="1751"/>
      <c r="I83" s="1751"/>
      <c r="J83" s="1751"/>
      <c r="K83" s="1751"/>
      <c r="L83" s="1751"/>
      <c r="M83" s="1751"/>
      <c r="N83" s="1751"/>
      <c r="O83" s="1751"/>
      <c r="S83" s="1938"/>
    </row>
    <row r="84" spans="5:19" x14ac:dyDescent="0.2">
      <c r="E84" s="1751"/>
      <c r="F84" s="1751"/>
      <c r="G84" s="1751"/>
      <c r="H84" s="1751"/>
      <c r="I84" s="1751"/>
      <c r="J84" s="1751"/>
      <c r="K84" s="1751"/>
      <c r="L84" s="1751"/>
      <c r="M84" s="1751"/>
      <c r="N84" s="1751"/>
      <c r="O84" s="1751"/>
      <c r="S84" s="1938"/>
    </row>
    <row r="85" spans="5:19" x14ac:dyDescent="0.2">
      <c r="E85" s="1751"/>
      <c r="F85" s="1751"/>
      <c r="G85" s="1751"/>
      <c r="H85" s="1751"/>
      <c r="I85" s="1751"/>
      <c r="J85" s="1751"/>
      <c r="K85" s="1751"/>
      <c r="L85" s="1751"/>
      <c r="M85" s="1751"/>
      <c r="N85" s="1751"/>
      <c r="O85" s="1751"/>
      <c r="S85" s="1938"/>
    </row>
    <row r="86" spans="5:19" x14ac:dyDescent="0.2">
      <c r="E86" s="1751"/>
      <c r="F86" s="1751"/>
      <c r="G86" s="1751"/>
      <c r="H86" s="1751"/>
      <c r="I86" s="1751"/>
      <c r="J86" s="1751"/>
      <c r="K86" s="1751"/>
      <c r="L86" s="1751"/>
      <c r="M86" s="1751"/>
      <c r="N86" s="1751"/>
      <c r="O86" s="1751"/>
      <c r="S86" s="1938"/>
    </row>
    <row r="87" spans="5:19" x14ac:dyDescent="0.2">
      <c r="E87" s="1751"/>
      <c r="F87" s="1751"/>
      <c r="G87" s="1751"/>
      <c r="H87" s="1751"/>
      <c r="I87" s="1751"/>
      <c r="J87" s="1751"/>
      <c r="K87" s="1751"/>
      <c r="L87" s="1751"/>
      <c r="M87" s="1751"/>
      <c r="N87" s="1751"/>
      <c r="O87" s="1751"/>
      <c r="S87" s="1938"/>
    </row>
    <row r="88" spans="5:19" x14ac:dyDescent="0.2">
      <c r="E88" s="1751"/>
      <c r="F88" s="1751"/>
      <c r="G88" s="1751"/>
      <c r="H88" s="1751"/>
      <c r="I88" s="1751"/>
      <c r="J88" s="1751"/>
      <c r="K88" s="1751"/>
      <c r="L88" s="1751"/>
      <c r="M88" s="1751"/>
      <c r="N88" s="1751"/>
      <c r="O88" s="1751"/>
      <c r="S88" s="1938"/>
    </row>
    <row r="89" spans="5:19" x14ac:dyDescent="0.2">
      <c r="E89" s="1751"/>
      <c r="F89" s="1751"/>
      <c r="G89" s="1751"/>
      <c r="H89" s="1751"/>
      <c r="I89" s="1751"/>
      <c r="J89" s="1751"/>
      <c r="K89" s="1751"/>
      <c r="L89" s="1751"/>
      <c r="M89" s="1751"/>
      <c r="N89" s="1751"/>
      <c r="O89" s="1751"/>
      <c r="S89" s="1938"/>
    </row>
    <row r="90" spans="5:19" x14ac:dyDescent="0.2">
      <c r="E90" s="1751"/>
      <c r="F90" s="1751"/>
      <c r="G90" s="1751"/>
      <c r="H90" s="1751"/>
      <c r="I90" s="1751"/>
      <c r="J90" s="1751"/>
      <c r="K90" s="1751"/>
      <c r="L90" s="1751"/>
      <c r="M90" s="1751"/>
      <c r="N90" s="1751"/>
      <c r="O90" s="1751"/>
      <c r="S90" s="1938"/>
    </row>
    <row r="91" spans="5:19" x14ac:dyDescent="0.2">
      <c r="E91" s="1751"/>
      <c r="F91" s="1751"/>
      <c r="G91" s="1751"/>
      <c r="H91" s="1751"/>
      <c r="I91" s="1751"/>
      <c r="J91" s="1751"/>
      <c r="K91" s="1751"/>
      <c r="L91" s="1751"/>
      <c r="M91" s="1751"/>
      <c r="N91" s="1751"/>
      <c r="O91" s="1751"/>
      <c r="S91" s="1938"/>
    </row>
    <row r="92" spans="5:19" x14ac:dyDescent="0.2">
      <c r="E92" s="1751"/>
      <c r="F92" s="1751"/>
      <c r="G92" s="1751"/>
      <c r="H92" s="1751"/>
      <c r="I92" s="1751"/>
      <c r="J92" s="1751"/>
      <c r="K92" s="1751"/>
      <c r="L92" s="1751"/>
      <c r="M92" s="1751"/>
      <c r="N92" s="1751"/>
      <c r="O92" s="1751"/>
      <c r="S92" s="1938"/>
    </row>
    <row r="93" spans="5:19" x14ac:dyDescent="0.2">
      <c r="E93" s="1751"/>
      <c r="F93" s="1751"/>
      <c r="G93" s="1751"/>
      <c r="H93" s="1751"/>
      <c r="I93" s="1751"/>
      <c r="J93" s="1751"/>
      <c r="K93" s="1751"/>
      <c r="L93" s="1751"/>
      <c r="M93" s="1751"/>
      <c r="N93" s="1751"/>
      <c r="O93" s="1751"/>
      <c r="S93" s="1938"/>
    </row>
    <row r="94" spans="5:19" x14ac:dyDescent="0.2">
      <c r="E94" s="1751"/>
      <c r="F94" s="1751"/>
      <c r="G94" s="1751"/>
      <c r="H94" s="1751"/>
      <c r="I94" s="1751"/>
      <c r="J94" s="1751"/>
      <c r="K94" s="1751"/>
      <c r="L94" s="1751"/>
      <c r="M94" s="1751"/>
      <c r="N94" s="1751"/>
      <c r="O94" s="1751"/>
      <c r="S94" s="1938"/>
    </row>
    <row r="95" spans="5:19" x14ac:dyDescent="0.2">
      <c r="E95" s="1751"/>
      <c r="F95" s="1751"/>
      <c r="G95" s="1751"/>
      <c r="H95" s="1751"/>
      <c r="I95" s="1751"/>
      <c r="J95" s="1751"/>
      <c r="K95" s="1751"/>
      <c r="L95" s="1751"/>
      <c r="M95" s="1751"/>
      <c r="N95" s="1751"/>
      <c r="O95" s="1751"/>
      <c r="S95" s="1938"/>
    </row>
    <row r="96" spans="5:19" x14ac:dyDescent="0.2">
      <c r="E96" s="1751"/>
      <c r="F96" s="1751"/>
      <c r="G96" s="1751"/>
      <c r="H96" s="1751"/>
      <c r="I96" s="1751"/>
      <c r="J96" s="1751"/>
      <c r="K96" s="1751"/>
      <c r="L96" s="1751"/>
      <c r="M96" s="1751"/>
      <c r="N96" s="1751"/>
      <c r="O96" s="1751"/>
      <c r="S96" s="1938"/>
    </row>
    <row r="97" spans="5:19" x14ac:dyDescent="0.2">
      <c r="E97" s="1751"/>
      <c r="F97" s="1751"/>
      <c r="G97" s="1751"/>
      <c r="H97" s="1751"/>
      <c r="I97" s="1751"/>
      <c r="J97" s="1751"/>
      <c r="K97" s="1751"/>
      <c r="L97" s="1751"/>
      <c r="M97" s="1751"/>
      <c r="N97" s="1751"/>
      <c r="O97" s="1751"/>
      <c r="S97" s="1938"/>
    </row>
    <row r="98" spans="5:19" x14ac:dyDescent="0.2">
      <c r="E98" s="1751"/>
      <c r="F98" s="1751"/>
      <c r="G98" s="1751"/>
      <c r="H98" s="1751"/>
      <c r="I98" s="1751"/>
      <c r="J98" s="1751"/>
      <c r="K98" s="1751"/>
      <c r="L98" s="1751"/>
      <c r="M98" s="1751"/>
      <c r="N98" s="1751"/>
      <c r="O98" s="1751"/>
      <c r="S98" s="1938"/>
    </row>
    <row r="99" spans="5:19" x14ac:dyDescent="0.2">
      <c r="E99" s="1751"/>
      <c r="F99" s="1751"/>
      <c r="G99" s="1751"/>
      <c r="H99" s="1751"/>
      <c r="I99" s="1751"/>
      <c r="J99" s="1751"/>
      <c r="K99" s="1751"/>
      <c r="L99" s="1751"/>
      <c r="M99" s="1751"/>
      <c r="N99" s="1751"/>
      <c r="O99" s="1751"/>
      <c r="S99" s="1938"/>
    </row>
    <row r="100" spans="5:19" x14ac:dyDescent="0.2">
      <c r="E100" s="1751"/>
      <c r="F100" s="1751"/>
      <c r="G100" s="1751"/>
      <c r="H100" s="1751"/>
      <c r="I100" s="1751"/>
      <c r="J100" s="1751"/>
      <c r="K100" s="1751"/>
      <c r="L100" s="1751"/>
      <c r="M100" s="1751"/>
      <c r="N100" s="1751"/>
      <c r="O100" s="1751"/>
      <c r="S100" s="1938"/>
    </row>
    <row r="101" spans="5:19" x14ac:dyDescent="0.2">
      <c r="E101" s="1751"/>
      <c r="F101" s="1751"/>
      <c r="G101" s="1751"/>
      <c r="H101" s="1751"/>
      <c r="I101" s="1751"/>
      <c r="J101" s="1751"/>
      <c r="K101" s="1751"/>
      <c r="L101" s="1751"/>
      <c r="M101" s="1751"/>
      <c r="N101" s="1751"/>
      <c r="O101" s="1751"/>
      <c r="S101" s="1938"/>
    </row>
    <row r="102" spans="5:19" x14ac:dyDescent="0.2">
      <c r="E102" s="1751"/>
      <c r="F102" s="1751"/>
      <c r="G102" s="1751"/>
      <c r="H102" s="1751"/>
      <c r="I102" s="1751"/>
      <c r="J102" s="1751"/>
      <c r="K102" s="1751"/>
      <c r="L102" s="1751"/>
      <c r="M102" s="1751"/>
      <c r="N102" s="1751"/>
      <c r="O102" s="1751"/>
      <c r="S102" s="1938"/>
    </row>
    <row r="103" spans="5:19" x14ac:dyDescent="0.2">
      <c r="E103" s="1751"/>
      <c r="F103" s="1751"/>
      <c r="G103" s="1751"/>
      <c r="H103" s="1751"/>
      <c r="I103" s="1751"/>
      <c r="J103" s="1751"/>
      <c r="K103" s="1751"/>
      <c r="L103" s="1751"/>
      <c r="M103" s="1751"/>
      <c r="N103" s="1751"/>
      <c r="O103" s="1751"/>
      <c r="S103" s="1938"/>
    </row>
    <row r="104" spans="5:19" x14ac:dyDescent="0.2">
      <c r="E104" s="1751"/>
      <c r="F104" s="1751"/>
      <c r="G104" s="1751"/>
      <c r="H104" s="1751"/>
      <c r="I104" s="1751"/>
      <c r="J104" s="1751"/>
      <c r="K104" s="1751"/>
      <c r="L104" s="1751"/>
      <c r="M104" s="1751"/>
      <c r="N104" s="1751"/>
      <c r="O104" s="1751"/>
      <c r="S104" s="1938"/>
    </row>
    <row r="105" spans="5:19" x14ac:dyDescent="0.2">
      <c r="E105" s="1751"/>
      <c r="F105" s="1751"/>
      <c r="G105" s="1751"/>
      <c r="H105" s="1751"/>
      <c r="I105" s="1751"/>
      <c r="J105" s="1751"/>
      <c r="K105" s="1751"/>
      <c r="L105" s="1751"/>
      <c r="M105" s="1751"/>
      <c r="N105" s="1751"/>
      <c r="O105" s="1751"/>
      <c r="S105" s="1938"/>
    </row>
    <row r="106" spans="5:19" x14ac:dyDescent="0.2">
      <c r="E106" s="1751"/>
      <c r="F106" s="1751"/>
      <c r="G106" s="1751"/>
      <c r="H106" s="1751"/>
      <c r="I106" s="1751"/>
      <c r="J106" s="1751"/>
      <c r="K106" s="1751"/>
      <c r="L106" s="1751"/>
      <c r="M106" s="1751"/>
      <c r="N106" s="1751"/>
      <c r="O106" s="1751"/>
      <c r="S106" s="1938"/>
    </row>
    <row r="107" spans="5:19" x14ac:dyDescent="0.2">
      <c r="E107" s="1751"/>
      <c r="F107" s="1751"/>
      <c r="G107" s="1751"/>
      <c r="H107" s="1751"/>
      <c r="I107" s="1751"/>
      <c r="J107" s="1751"/>
      <c r="K107" s="1751"/>
      <c r="L107" s="1751"/>
      <c r="M107" s="1751"/>
      <c r="N107" s="1751"/>
      <c r="O107" s="1751"/>
      <c r="S107" s="1938"/>
    </row>
    <row r="108" spans="5:19" x14ac:dyDescent="0.2">
      <c r="E108" s="1751"/>
      <c r="F108" s="1751"/>
      <c r="G108" s="1751"/>
      <c r="H108" s="1751"/>
      <c r="I108" s="1751"/>
      <c r="J108" s="1751"/>
      <c r="K108" s="1751"/>
      <c r="L108" s="1751"/>
      <c r="M108" s="1751"/>
      <c r="N108" s="1751"/>
      <c r="O108" s="1751"/>
      <c r="S108" s="1938"/>
    </row>
    <row r="109" spans="5:19" x14ac:dyDescent="0.2">
      <c r="E109" s="1751"/>
      <c r="F109" s="1751"/>
      <c r="G109" s="1751"/>
      <c r="H109" s="1751"/>
      <c r="I109" s="1751"/>
      <c r="J109" s="1751"/>
      <c r="K109" s="1751"/>
      <c r="L109" s="1751"/>
      <c r="M109" s="1751"/>
      <c r="N109" s="1751"/>
      <c r="O109" s="1751"/>
      <c r="S109" s="1938"/>
    </row>
    <row r="110" spans="5:19" x14ac:dyDescent="0.2">
      <c r="E110" s="1751"/>
      <c r="F110" s="1751"/>
      <c r="G110" s="1751"/>
      <c r="H110" s="1751"/>
      <c r="I110" s="1751"/>
      <c r="J110" s="1751"/>
      <c r="K110" s="1751"/>
      <c r="L110" s="1751"/>
      <c r="M110" s="1751"/>
      <c r="N110" s="1751"/>
      <c r="O110" s="1751"/>
      <c r="S110" s="1938"/>
    </row>
    <row r="111" spans="5:19" x14ac:dyDescent="0.2">
      <c r="E111" s="1751"/>
      <c r="F111" s="1751"/>
      <c r="G111" s="1751"/>
      <c r="H111" s="1751"/>
      <c r="I111" s="1751"/>
      <c r="J111" s="1751"/>
      <c r="K111" s="1751"/>
      <c r="L111" s="1751"/>
      <c r="M111" s="1751"/>
      <c r="N111" s="1751"/>
      <c r="O111" s="1751"/>
      <c r="S111" s="1938"/>
    </row>
    <row r="112" spans="5:19" x14ac:dyDescent="0.2">
      <c r="E112" s="1751"/>
      <c r="F112" s="1751"/>
      <c r="G112" s="1751"/>
      <c r="H112" s="1751"/>
      <c r="I112" s="1751"/>
      <c r="J112" s="1751"/>
      <c r="K112" s="1751"/>
      <c r="L112" s="1751"/>
      <c r="M112" s="1751"/>
      <c r="N112" s="1751"/>
      <c r="O112" s="1751"/>
      <c r="S112" s="1938"/>
    </row>
    <row r="113" spans="5:19" x14ac:dyDescent="0.2">
      <c r="E113" s="1751"/>
      <c r="F113" s="1751"/>
      <c r="G113" s="1751"/>
      <c r="H113" s="1751"/>
      <c r="I113" s="1751"/>
      <c r="J113" s="1751"/>
      <c r="K113" s="1751"/>
      <c r="L113" s="1751"/>
      <c r="M113" s="1751"/>
      <c r="N113" s="1751"/>
      <c r="O113" s="1751"/>
      <c r="S113" s="1938"/>
    </row>
    <row r="114" spans="5:19" x14ac:dyDescent="0.2">
      <c r="E114" s="1751"/>
      <c r="F114" s="1751"/>
      <c r="G114" s="1751"/>
      <c r="H114" s="1751"/>
      <c r="I114" s="1751"/>
      <c r="J114" s="1751"/>
      <c r="K114" s="1751"/>
      <c r="L114" s="1751"/>
      <c r="M114" s="1751"/>
      <c r="N114" s="1751"/>
      <c r="O114" s="1751"/>
      <c r="S114" s="1938"/>
    </row>
    <row r="115" spans="5:19" x14ac:dyDescent="0.2">
      <c r="E115" s="1751"/>
      <c r="F115" s="1751"/>
      <c r="G115" s="1751"/>
      <c r="H115" s="1751"/>
      <c r="I115" s="1751"/>
      <c r="J115" s="1751"/>
      <c r="K115" s="1751"/>
      <c r="L115" s="1751"/>
      <c r="M115" s="1751"/>
      <c r="N115" s="1751"/>
      <c r="O115" s="1751"/>
      <c r="S115" s="1938"/>
    </row>
    <row r="116" spans="5:19" x14ac:dyDescent="0.2">
      <c r="E116" s="1751"/>
      <c r="F116" s="1751"/>
      <c r="G116" s="1751"/>
      <c r="H116" s="1751"/>
      <c r="I116" s="1751"/>
      <c r="J116" s="1751"/>
      <c r="K116" s="1751"/>
      <c r="L116" s="1751"/>
      <c r="M116" s="1751"/>
      <c r="N116" s="1751"/>
      <c r="O116" s="1751"/>
      <c r="S116" s="1938"/>
    </row>
    <row r="117" spans="5:19" x14ac:dyDescent="0.2">
      <c r="E117" s="1751"/>
      <c r="F117" s="1751"/>
      <c r="G117" s="1751"/>
      <c r="H117" s="1751"/>
      <c r="I117" s="1751"/>
      <c r="J117" s="1751"/>
      <c r="K117" s="1751"/>
      <c r="L117" s="1751"/>
      <c r="M117" s="1751"/>
      <c r="N117" s="1751"/>
      <c r="O117" s="1751"/>
      <c r="S117" s="1938"/>
    </row>
    <row r="118" spans="5:19" x14ac:dyDescent="0.2">
      <c r="E118" s="1751"/>
      <c r="F118" s="1751"/>
      <c r="G118" s="1751"/>
      <c r="H118" s="1751"/>
      <c r="I118" s="1751"/>
      <c r="J118" s="1751"/>
      <c r="K118" s="1751"/>
      <c r="L118" s="1751"/>
      <c r="M118" s="1751"/>
      <c r="N118" s="1751"/>
      <c r="O118" s="1751"/>
      <c r="S118" s="1938"/>
    </row>
    <row r="119" spans="5:19" x14ac:dyDescent="0.2">
      <c r="E119" s="1751"/>
      <c r="F119" s="1751"/>
      <c r="G119" s="1751"/>
      <c r="H119" s="1751"/>
      <c r="I119" s="1751"/>
      <c r="J119" s="1751"/>
      <c r="K119" s="1751"/>
      <c r="L119" s="1751"/>
      <c r="M119" s="1751"/>
      <c r="N119" s="1751"/>
      <c r="O119" s="1751"/>
      <c r="S119" s="1938"/>
    </row>
    <row r="120" spans="5:19" x14ac:dyDescent="0.2">
      <c r="E120" s="1751"/>
      <c r="F120" s="1751"/>
      <c r="G120" s="1751"/>
      <c r="H120" s="1751"/>
      <c r="I120" s="1751"/>
      <c r="J120" s="1751"/>
      <c r="K120" s="1751"/>
      <c r="L120" s="1751"/>
      <c r="M120" s="1751"/>
      <c r="N120" s="1751"/>
      <c r="O120" s="1751"/>
      <c r="S120" s="1938"/>
    </row>
    <row r="121" spans="5:19" x14ac:dyDescent="0.2">
      <c r="E121" s="1751"/>
      <c r="F121" s="1751"/>
      <c r="G121" s="1751"/>
      <c r="H121" s="1751"/>
      <c r="I121" s="1751"/>
      <c r="J121" s="1751"/>
      <c r="K121" s="1751"/>
      <c r="L121" s="1751"/>
      <c r="M121" s="1751"/>
      <c r="N121" s="1751"/>
      <c r="O121" s="1751"/>
      <c r="S121" s="1938"/>
    </row>
    <row r="122" spans="5:19" x14ac:dyDescent="0.2">
      <c r="E122" s="1751"/>
      <c r="F122" s="1751"/>
      <c r="G122" s="1751"/>
      <c r="H122" s="1751"/>
      <c r="I122" s="1751"/>
      <c r="J122" s="1751"/>
      <c r="K122" s="1751"/>
      <c r="L122" s="1751"/>
      <c r="M122" s="1751"/>
      <c r="N122" s="1751"/>
      <c r="O122" s="1751"/>
      <c r="S122" s="1938"/>
    </row>
    <row r="123" spans="5:19" x14ac:dyDescent="0.2">
      <c r="E123" s="1751"/>
      <c r="F123" s="1751"/>
      <c r="G123" s="1751"/>
      <c r="H123" s="1751"/>
      <c r="I123" s="1751"/>
      <c r="J123" s="1751"/>
      <c r="K123" s="1751"/>
      <c r="L123" s="1751"/>
      <c r="M123" s="1751"/>
      <c r="N123" s="1751"/>
      <c r="O123" s="1751"/>
      <c r="S123" s="1938"/>
    </row>
    <row r="124" spans="5:19" x14ac:dyDescent="0.2">
      <c r="E124" s="1751"/>
      <c r="F124" s="1751"/>
      <c r="G124" s="1751"/>
      <c r="H124" s="1751"/>
      <c r="I124" s="1751"/>
      <c r="J124" s="1751"/>
      <c r="K124" s="1751"/>
      <c r="L124" s="1751"/>
      <c r="M124" s="1751"/>
      <c r="N124" s="1751"/>
      <c r="O124" s="1751"/>
      <c r="S124" s="1938"/>
    </row>
    <row r="125" spans="5:19" x14ac:dyDescent="0.2">
      <c r="E125" s="1751"/>
      <c r="F125" s="1751"/>
      <c r="G125" s="1751"/>
      <c r="H125" s="1751"/>
      <c r="I125" s="1751"/>
      <c r="J125" s="1751"/>
      <c r="K125" s="1751"/>
      <c r="L125" s="1751"/>
      <c r="M125" s="1751"/>
      <c r="N125" s="1751"/>
      <c r="O125" s="1751"/>
      <c r="S125" s="1938"/>
    </row>
    <row r="126" spans="5:19" x14ac:dyDescent="0.2">
      <c r="E126" s="1751"/>
      <c r="F126" s="1751"/>
      <c r="G126" s="1751"/>
      <c r="H126" s="1751"/>
      <c r="I126" s="1751"/>
      <c r="J126" s="1751"/>
      <c r="K126" s="1751"/>
      <c r="L126" s="1751"/>
      <c r="M126" s="1751"/>
      <c r="N126" s="1751"/>
      <c r="O126" s="1751"/>
      <c r="S126" s="1938"/>
    </row>
    <row r="127" spans="5:19" x14ac:dyDescent="0.2">
      <c r="E127" s="1751"/>
      <c r="F127" s="1751"/>
      <c r="G127" s="1751"/>
      <c r="H127" s="1751"/>
      <c r="I127" s="1751"/>
      <c r="J127" s="1751"/>
      <c r="K127" s="1751"/>
      <c r="L127" s="1751"/>
      <c r="M127" s="1751"/>
      <c r="N127" s="1751"/>
      <c r="O127" s="1751"/>
      <c r="S127" s="1938"/>
    </row>
    <row r="128" spans="5:19" x14ac:dyDescent="0.2">
      <c r="E128" s="1751"/>
      <c r="F128" s="1751"/>
      <c r="G128" s="1751"/>
      <c r="H128" s="1751"/>
      <c r="I128" s="1751"/>
      <c r="J128" s="1751"/>
      <c r="K128" s="1751"/>
      <c r="L128" s="1751"/>
      <c r="M128" s="1751"/>
      <c r="N128" s="1751"/>
      <c r="O128" s="1751"/>
      <c r="S128" s="1938"/>
    </row>
    <row r="129" spans="5:19" x14ac:dyDescent="0.2">
      <c r="E129" s="1751"/>
      <c r="F129" s="1751"/>
      <c r="G129" s="1751"/>
      <c r="H129" s="1751"/>
      <c r="I129" s="1751"/>
      <c r="J129" s="1751"/>
      <c r="K129" s="1751"/>
      <c r="L129" s="1751"/>
      <c r="M129" s="1751"/>
      <c r="N129" s="1751"/>
      <c r="O129" s="1751"/>
      <c r="S129" s="1938"/>
    </row>
    <row r="130" spans="5:19" x14ac:dyDescent="0.2">
      <c r="E130" s="1751"/>
      <c r="F130" s="1751"/>
      <c r="G130" s="1751"/>
      <c r="H130" s="1751"/>
      <c r="I130" s="1751"/>
      <c r="J130" s="1751"/>
      <c r="K130" s="1751"/>
      <c r="L130" s="1751"/>
      <c r="M130" s="1751"/>
      <c r="N130" s="1751"/>
      <c r="O130" s="1751"/>
      <c r="S130" s="1938"/>
    </row>
    <row r="131" spans="5:19" x14ac:dyDescent="0.2">
      <c r="E131" s="1751"/>
      <c r="F131" s="1751"/>
      <c r="G131" s="1751"/>
      <c r="H131" s="1751"/>
      <c r="I131" s="1751"/>
      <c r="J131" s="1751"/>
      <c r="K131" s="1751"/>
      <c r="L131" s="1751"/>
      <c r="M131" s="1751"/>
      <c r="N131" s="1751"/>
      <c r="O131" s="1751"/>
      <c r="S131" s="1938"/>
    </row>
    <row r="132" spans="5:19" x14ac:dyDescent="0.2">
      <c r="E132" s="1751"/>
      <c r="F132" s="1751"/>
      <c r="G132" s="1751"/>
      <c r="H132" s="1751"/>
      <c r="I132" s="1751"/>
      <c r="J132" s="1751"/>
      <c r="K132" s="1751"/>
      <c r="L132" s="1751"/>
      <c r="M132" s="1751"/>
      <c r="N132" s="1751"/>
      <c r="O132" s="1751"/>
      <c r="S132" s="1938"/>
    </row>
    <row r="133" spans="5:19" x14ac:dyDescent="0.2">
      <c r="E133" s="1751"/>
      <c r="F133" s="1751"/>
      <c r="G133" s="1751"/>
      <c r="H133" s="1751"/>
      <c r="I133" s="1751"/>
      <c r="J133" s="1751"/>
      <c r="K133" s="1751"/>
      <c r="L133" s="1751"/>
      <c r="M133" s="1751"/>
      <c r="N133" s="1751"/>
      <c r="O133" s="1751"/>
      <c r="S133" s="1938"/>
    </row>
    <row r="134" spans="5:19" x14ac:dyDescent="0.2">
      <c r="E134" s="1751"/>
      <c r="F134" s="1751"/>
      <c r="G134" s="1751"/>
      <c r="H134" s="1751"/>
      <c r="I134" s="1751"/>
      <c r="J134" s="1751"/>
      <c r="K134" s="1751"/>
      <c r="L134" s="1751"/>
      <c r="M134" s="1751"/>
      <c r="N134" s="1751"/>
      <c r="O134" s="1751"/>
      <c r="S134" s="1938"/>
    </row>
    <row r="135" spans="5:19" x14ac:dyDescent="0.2">
      <c r="E135" s="1751"/>
      <c r="F135" s="1751"/>
      <c r="G135" s="1751"/>
      <c r="H135" s="1751"/>
      <c r="I135" s="1751"/>
      <c r="J135" s="1751"/>
      <c r="K135" s="1751"/>
      <c r="L135" s="1751"/>
      <c r="M135" s="1751"/>
      <c r="N135" s="1751"/>
      <c r="O135" s="1751"/>
      <c r="S135" s="1938"/>
    </row>
    <row r="136" spans="5:19" x14ac:dyDescent="0.2">
      <c r="E136" s="1751"/>
      <c r="F136" s="1751"/>
      <c r="G136" s="1751"/>
      <c r="H136" s="1751"/>
      <c r="I136" s="1751"/>
      <c r="J136" s="1751"/>
      <c r="K136" s="1751"/>
      <c r="L136" s="1751"/>
      <c r="M136" s="1751"/>
      <c r="N136" s="1751"/>
      <c r="O136" s="1751"/>
      <c r="S136" s="1938"/>
    </row>
    <row r="137" spans="5:19" x14ac:dyDescent="0.2">
      <c r="E137" s="1751"/>
      <c r="F137" s="1751"/>
      <c r="G137" s="1751"/>
      <c r="H137" s="1751"/>
      <c r="I137" s="1751"/>
      <c r="J137" s="1751"/>
      <c r="K137" s="1751"/>
      <c r="L137" s="1751"/>
      <c r="M137" s="1751"/>
      <c r="N137" s="1751"/>
      <c r="O137" s="1751"/>
      <c r="S137" s="1938"/>
    </row>
    <row r="138" spans="5:19" x14ac:dyDescent="0.2">
      <c r="E138" s="1751"/>
      <c r="F138" s="1751"/>
      <c r="G138" s="1751"/>
      <c r="H138" s="1751"/>
      <c r="I138" s="1751"/>
      <c r="J138" s="1751"/>
      <c r="K138" s="1751"/>
      <c r="L138" s="1751"/>
      <c r="M138" s="1751"/>
      <c r="N138" s="1751"/>
      <c r="O138" s="1751"/>
      <c r="S138" s="1938"/>
    </row>
    <row r="139" spans="5:19" x14ac:dyDescent="0.2">
      <c r="E139" s="1751"/>
      <c r="F139" s="1751"/>
      <c r="G139" s="1751"/>
      <c r="H139" s="1751"/>
      <c r="I139" s="1751"/>
      <c r="J139" s="1751"/>
      <c r="K139" s="1751"/>
      <c r="L139" s="1751"/>
      <c r="M139" s="1751"/>
      <c r="N139" s="1751"/>
      <c r="O139" s="1751"/>
      <c r="S139" s="1938"/>
    </row>
    <row r="140" spans="5:19" x14ac:dyDescent="0.2">
      <c r="E140" s="1751"/>
      <c r="F140" s="1751"/>
      <c r="G140" s="1751"/>
      <c r="H140" s="1751"/>
      <c r="I140" s="1751"/>
      <c r="J140" s="1751"/>
      <c r="K140" s="1751"/>
      <c r="L140" s="1751"/>
      <c r="M140" s="1751"/>
      <c r="N140" s="1751"/>
      <c r="O140" s="1751"/>
      <c r="S140" s="1938"/>
    </row>
    <row r="141" spans="5:19" x14ac:dyDescent="0.2">
      <c r="E141" s="1751"/>
      <c r="F141" s="1751"/>
      <c r="G141" s="1751"/>
      <c r="H141" s="1751"/>
      <c r="I141" s="1751"/>
      <c r="J141" s="1751"/>
      <c r="K141" s="1751"/>
      <c r="L141" s="1751"/>
      <c r="M141" s="1751"/>
      <c r="N141" s="1751"/>
      <c r="O141" s="1751"/>
      <c r="S141" s="1938"/>
    </row>
    <row r="142" spans="5:19" x14ac:dyDescent="0.2">
      <c r="E142" s="1751"/>
      <c r="F142" s="1751"/>
      <c r="G142" s="1751"/>
      <c r="H142" s="1751"/>
      <c r="I142" s="1751"/>
      <c r="J142" s="1751"/>
      <c r="K142" s="1751"/>
      <c r="L142" s="1751"/>
      <c r="M142" s="1751"/>
      <c r="N142" s="1751"/>
      <c r="O142" s="1751"/>
      <c r="S142" s="1938"/>
    </row>
    <row r="143" spans="5:19" x14ac:dyDescent="0.2">
      <c r="E143" s="1751"/>
      <c r="F143" s="1751"/>
      <c r="G143" s="1751"/>
      <c r="H143" s="1751"/>
      <c r="I143" s="1751"/>
      <c r="J143" s="1751"/>
      <c r="K143" s="1751"/>
      <c r="L143" s="1751"/>
      <c r="M143" s="1751"/>
      <c r="N143" s="1751"/>
      <c r="O143" s="1751"/>
      <c r="S143" s="1938"/>
    </row>
    <row r="144" spans="5:19" x14ac:dyDescent="0.2">
      <c r="E144" s="1751"/>
      <c r="F144" s="1751"/>
      <c r="G144" s="1751"/>
      <c r="H144" s="1751"/>
      <c r="I144" s="1751"/>
      <c r="J144" s="1751"/>
      <c r="K144" s="1751"/>
      <c r="L144" s="1751"/>
      <c r="M144" s="1751"/>
      <c r="N144" s="1751"/>
      <c r="O144" s="1751"/>
      <c r="S144" s="1938"/>
    </row>
    <row r="145" spans="5:19" x14ac:dyDescent="0.2">
      <c r="E145" s="1751"/>
      <c r="F145" s="1751"/>
      <c r="G145" s="1751"/>
      <c r="H145" s="1751"/>
      <c r="I145" s="1751"/>
      <c r="J145" s="1751"/>
      <c r="K145" s="1751"/>
      <c r="L145" s="1751"/>
      <c r="M145" s="1751"/>
      <c r="N145" s="1751"/>
      <c r="O145" s="1751"/>
      <c r="S145" s="1938"/>
    </row>
    <row r="146" spans="5:19" x14ac:dyDescent="0.2">
      <c r="E146" s="1751"/>
      <c r="F146" s="1751"/>
      <c r="G146" s="1751"/>
      <c r="H146" s="1751"/>
      <c r="I146" s="1751"/>
      <c r="J146" s="1751"/>
      <c r="K146" s="1751"/>
      <c r="L146" s="1751"/>
      <c r="M146" s="1751"/>
      <c r="N146" s="1751"/>
      <c r="O146" s="1751"/>
      <c r="S146" s="1938"/>
    </row>
    <row r="147" spans="5:19" x14ac:dyDescent="0.2">
      <c r="E147" s="1751"/>
      <c r="F147" s="1751"/>
      <c r="G147" s="1751"/>
      <c r="H147" s="1751"/>
      <c r="I147" s="1751"/>
      <c r="J147" s="1751"/>
      <c r="K147" s="1751"/>
      <c r="L147" s="1751"/>
      <c r="M147" s="1751"/>
      <c r="N147" s="1751"/>
      <c r="O147" s="1751"/>
      <c r="S147" s="1938"/>
    </row>
    <row r="148" spans="5:19" x14ac:dyDescent="0.2">
      <c r="E148" s="1751"/>
      <c r="F148" s="1751"/>
      <c r="G148" s="1751"/>
      <c r="H148" s="1751"/>
      <c r="I148" s="1751"/>
      <c r="J148" s="1751"/>
      <c r="K148" s="1751"/>
      <c r="L148" s="1751"/>
      <c r="M148" s="1751"/>
      <c r="N148" s="1751"/>
      <c r="O148" s="1751"/>
      <c r="S148" s="1938"/>
    </row>
    <row r="149" spans="5:19" x14ac:dyDescent="0.2">
      <c r="E149" s="1751"/>
      <c r="F149" s="1751"/>
      <c r="G149" s="1751"/>
      <c r="H149" s="1751"/>
      <c r="I149" s="1751"/>
      <c r="J149" s="1751"/>
      <c r="K149" s="1751"/>
      <c r="L149" s="1751"/>
      <c r="M149" s="1751"/>
      <c r="N149" s="1751"/>
      <c r="O149" s="1751"/>
      <c r="S149" s="1938"/>
    </row>
    <row r="150" spans="5:19" x14ac:dyDescent="0.2">
      <c r="E150" s="1751"/>
      <c r="F150" s="1751"/>
      <c r="G150" s="1751"/>
      <c r="H150" s="1751"/>
      <c r="I150" s="1751"/>
      <c r="J150" s="1751"/>
      <c r="K150" s="1751"/>
      <c r="L150" s="1751"/>
      <c r="M150" s="1751"/>
      <c r="N150" s="1751"/>
      <c r="O150" s="1751"/>
      <c r="S150" s="1938"/>
    </row>
    <row r="151" spans="5:19" x14ac:dyDescent="0.2">
      <c r="E151" s="1751"/>
      <c r="F151" s="1751"/>
      <c r="G151" s="1751"/>
      <c r="H151" s="1751"/>
      <c r="I151" s="1751"/>
      <c r="J151" s="1751"/>
      <c r="K151" s="1751"/>
      <c r="L151" s="1751"/>
      <c r="M151" s="1751"/>
      <c r="N151" s="1751"/>
      <c r="O151" s="1751"/>
      <c r="S151" s="1938"/>
    </row>
    <row r="152" spans="5:19" x14ac:dyDescent="0.2">
      <c r="E152" s="1751"/>
      <c r="F152" s="1751"/>
      <c r="G152" s="1751"/>
      <c r="H152" s="1751"/>
      <c r="I152" s="1751"/>
      <c r="J152" s="1751"/>
      <c r="K152" s="1751"/>
      <c r="L152" s="1751"/>
      <c r="M152" s="1751"/>
      <c r="N152" s="1751"/>
      <c r="O152" s="1751"/>
      <c r="S152" s="1938"/>
    </row>
    <row r="153" spans="5:19" x14ac:dyDescent="0.2">
      <c r="E153" s="1751"/>
      <c r="F153" s="1751"/>
      <c r="G153" s="1751"/>
      <c r="H153" s="1751"/>
      <c r="I153" s="1751"/>
      <c r="J153" s="1751"/>
      <c r="K153" s="1751"/>
      <c r="L153" s="1751"/>
      <c r="M153" s="1751"/>
      <c r="N153" s="1751"/>
      <c r="O153" s="1751"/>
      <c r="S153" s="1938"/>
    </row>
    <row r="154" spans="5:19" x14ac:dyDescent="0.2">
      <c r="E154" s="1751"/>
      <c r="F154" s="1751"/>
      <c r="G154" s="1751"/>
      <c r="H154" s="1751"/>
      <c r="I154" s="1751"/>
      <c r="J154" s="1751"/>
      <c r="K154" s="1751"/>
      <c r="L154" s="1751"/>
      <c r="M154" s="1751"/>
      <c r="N154" s="1751"/>
      <c r="O154" s="1751"/>
      <c r="S154" s="1938"/>
    </row>
    <row r="155" spans="5:19" x14ac:dyDescent="0.2">
      <c r="E155" s="1751"/>
      <c r="F155" s="1751"/>
      <c r="G155" s="1751"/>
      <c r="H155" s="1751"/>
      <c r="I155" s="1751"/>
      <c r="J155" s="1751"/>
      <c r="K155" s="1751"/>
      <c r="L155" s="1751"/>
      <c r="M155" s="1751"/>
      <c r="N155" s="1751"/>
      <c r="O155" s="1751"/>
      <c r="S155" s="1938"/>
    </row>
    <row r="156" spans="5:19" x14ac:dyDescent="0.2">
      <c r="E156" s="1751"/>
      <c r="F156" s="1751"/>
      <c r="G156" s="1751"/>
      <c r="H156" s="1751"/>
      <c r="I156" s="1751"/>
      <c r="J156" s="1751"/>
      <c r="K156" s="1751"/>
      <c r="L156" s="1751"/>
      <c r="M156" s="1751"/>
      <c r="N156" s="1751"/>
      <c r="O156" s="1751"/>
      <c r="S156" s="1938"/>
    </row>
    <row r="157" spans="5:19" x14ac:dyDescent="0.2">
      <c r="E157" s="1751"/>
      <c r="F157" s="1751"/>
      <c r="G157" s="1751"/>
      <c r="H157" s="1751"/>
      <c r="I157" s="1751"/>
      <c r="J157" s="1751"/>
      <c r="K157" s="1751"/>
      <c r="L157" s="1751"/>
      <c r="M157" s="1751"/>
      <c r="N157" s="1751"/>
      <c r="O157" s="1751"/>
      <c r="S157" s="1938"/>
    </row>
    <row r="158" spans="5:19" x14ac:dyDescent="0.2">
      <c r="E158" s="1751"/>
      <c r="F158" s="1751"/>
      <c r="G158" s="1751"/>
      <c r="H158" s="1751"/>
      <c r="I158" s="1751"/>
      <c r="J158" s="1751"/>
      <c r="K158" s="1751"/>
      <c r="L158" s="1751"/>
      <c r="M158" s="1751"/>
      <c r="N158" s="1751"/>
      <c r="O158" s="1751"/>
      <c r="S158" s="1938"/>
    </row>
    <row r="159" spans="5:19" x14ac:dyDescent="0.2">
      <c r="E159" s="1751"/>
      <c r="F159" s="1751"/>
      <c r="G159" s="1751"/>
      <c r="H159" s="1751"/>
      <c r="I159" s="1751"/>
      <c r="J159" s="1751"/>
      <c r="K159" s="1751"/>
      <c r="L159" s="1751"/>
      <c r="M159" s="1751"/>
      <c r="N159" s="1751"/>
      <c r="O159" s="1751"/>
      <c r="S159" s="1938"/>
    </row>
    <row r="160" spans="5:19" x14ac:dyDescent="0.2">
      <c r="E160" s="1751"/>
      <c r="F160" s="1751"/>
      <c r="G160" s="1751"/>
      <c r="H160" s="1751"/>
      <c r="I160" s="1751"/>
      <c r="J160" s="1751"/>
      <c r="K160" s="1751"/>
      <c r="L160" s="1751"/>
      <c r="M160" s="1751"/>
      <c r="N160" s="1751"/>
      <c r="O160" s="1751"/>
      <c r="S160" s="1938"/>
    </row>
    <row r="161" spans="5:19" x14ac:dyDescent="0.2">
      <c r="E161" s="1751"/>
      <c r="F161" s="1751"/>
      <c r="G161" s="1751"/>
      <c r="H161" s="1751"/>
      <c r="I161" s="1751"/>
      <c r="J161" s="1751"/>
      <c r="K161" s="1751"/>
      <c r="L161" s="1751"/>
      <c r="M161" s="1751"/>
      <c r="N161" s="1751"/>
      <c r="O161" s="1751"/>
      <c r="S161" s="1938"/>
    </row>
    <row r="162" spans="5:19" x14ac:dyDescent="0.2">
      <c r="E162" s="1751"/>
      <c r="F162" s="1751"/>
      <c r="G162" s="1751"/>
      <c r="H162" s="1751"/>
      <c r="I162" s="1751"/>
      <c r="J162" s="1751"/>
      <c r="K162" s="1751"/>
      <c r="L162" s="1751"/>
      <c r="M162" s="1751"/>
      <c r="N162" s="1751"/>
      <c r="O162" s="1751"/>
      <c r="S162" s="1938"/>
    </row>
    <row r="163" spans="5:19" x14ac:dyDescent="0.2">
      <c r="E163" s="1751"/>
      <c r="F163" s="1751"/>
      <c r="G163" s="1751"/>
      <c r="H163" s="1751"/>
      <c r="I163" s="1751"/>
      <c r="J163" s="1751"/>
      <c r="K163" s="1751"/>
      <c r="L163" s="1751"/>
      <c r="M163" s="1751"/>
      <c r="N163" s="1751"/>
      <c r="O163" s="1751"/>
      <c r="S163" s="1938"/>
    </row>
    <row r="164" spans="5:19" x14ac:dyDescent="0.2">
      <c r="E164" s="1751"/>
      <c r="F164" s="1751"/>
      <c r="G164" s="1751"/>
      <c r="H164" s="1751"/>
      <c r="I164" s="1751"/>
      <c r="J164" s="1751"/>
      <c r="K164" s="1751"/>
      <c r="L164" s="1751"/>
      <c r="M164" s="1751"/>
      <c r="N164" s="1751"/>
      <c r="O164" s="1751"/>
      <c r="S164" s="1938"/>
    </row>
    <row r="165" spans="5:19" x14ac:dyDescent="0.2">
      <c r="E165" s="1751"/>
      <c r="F165" s="1751"/>
      <c r="G165" s="1751"/>
      <c r="H165" s="1751"/>
      <c r="I165" s="1751"/>
      <c r="J165" s="1751"/>
      <c r="K165" s="1751"/>
      <c r="L165" s="1751"/>
      <c r="M165" s="1751"/>
      <c r="N165" s="1751"/>
      <c r="O165" s="1751"/>
      <c r="S165" s="1938"/>
    </row>
    <row r="166" spans="5:19" x14ac:dyDescent="0.2">
      <c r="E166" s="1751"/>
      <c r="F166" s="1751"/>
      <c r="G166" s="1751"/>
      <c r="H166" s="1751"/>
      <c r="I166" s="1751"/>
      <c r="J166" s="1751"/>
      <c r="K166" s="1751"/>
      <c r="L166" s="1751"/>
      <c r="M166" s="1751"/>
      <c r="N166" s="1751"/>
      <c r="O166" s="1751"/>
      <c r="S166" s="1938"/>
    </row>
    <row r="167" spans="5:19" x14ac:dyDescent="0.2">
      <c r="E167" s="1751"/>
      <c r="F167" s="1751"/>
      <c r="G167" s="1751"/>
      <c r="H167" s="1751"/>
      <c r="I167" s="1751"/>
      <c r="J167" s="1751"/>
      <c r="K167" s="1751"/>
      <c r="L167" s="1751"/>
      <c r="M167" s="1751"/>
      <c r="N167" s="1751"/>
      <c r="O167" s="1751"/>
      <c r="S167" s="1938"/>
    </row>
    <row r="168" spans="5:19" x14ac:dyDescent="0.2">
      <c r="E168" s="1751"/>
      <c r="F168" s="1751"/>
      <c r="G168" s="1751"/>
      <c r="H168" s="1751"/>
      <c r="I168" s="1751"/>
      <c r="J168" s="1751"/>
      <c r="K168" s="1751"/>
      <c r="L168" s="1751"/>
      <c r="M168" s="1751"/>
      <c r="N168" s="1751"/>
      <c r="O168" s="1751"/>
      <c r="S168" s="1938"/>
    </row>
    <row r="169" spans="5:19" x14ac:dyDescent="0.2">
      <c r="E169" s="1751"/>
      <c r="F169" s="1751"/>
      <c r="G169" s="1751"/>
      <c r="H169" s="1751"/>
      <c r="I169" s="1751"/>
      <c r="J169" s="1751"/>
      <c r="K169" s="1751"/>
      <c r="L169" s="1751"/>
      <c r="M169" s="1751"/>
      <c r="N169" s="1751"/>
      <c r="O169" s="1751"/>
      <c r="S169" s="1938"/>
    </row>
    <row r="170" spans="5:19" x14ac:dyDescent="0.2">
      <c r="E170" s="1751"/>
      <c r="F170" s="1751"/>
      <c r="G170" s="1751"/>
      <c r="H170" s="1751"/>
      <c r="I170" s="1751"/>
      <c r="J170" s="1751"/>
      <c r="K170" s="1751"/>
      <c r="L170" s="1751"/>
      <c r="M170" s="1751"/>
      <c r="N170" s="1751"/>
      <c r="O170" s="1751"/>
      <c r="S170" s="1938"/>
    </row>
    <row r="171" spans="5:19" x14ac:dyDescent="0.2">
      <c r="E171" s="1751"/>
      <c r="F171" s="1751"/>
      <c r="G171" s="1751"/>
      <c r="H171" s="1751"/>
      <c r="I171" s="1751"/>
      <c r="J171" s="1751"/>
      <c r="K171" s="1751"/>
      <c r="L171" s="1751"/>
      <c r="M171" s="1751"/>
      <c r="N171" s="1751"/>
      <c r="O171" s="1751"/>
      <c r="S171" s="1938"/>
    </row>
    <row r="172" spans="5:19" x14ac:dyDescent="0.2">
      <c r="E172" s="1751"/>
      <c r="F172" s="1751"/>
      <c r="G172" s="1751"/>
      <c r="H172" s="1751"/>
      <c r="I172" s="1751"/>
      <c r="J172" s="1751"/>
      <c r="K172" s="1751"/>
      <c r="L172" s="1751"/>
      <c r="M172" s="1751"/>
      <c r="N172" s="1751"/>
      <c r="O172" s="1751"/>
      <c r="S172" s="1938"/>
    </row>
    <row r="173" spans="5:19" x14ac:dyDescent="0.2">
      <c r="E173" s="1751"/>
      <c r="F173" s="1751"/>
      <c r="G173" s="1751"/>
      <c r="H173" s="1751"/>
      <c r="I173" s="1751"/>
      <c r="J173" s="1751"/>
      <c r="K173" s="1751"/>
      <c r="L173" s="1751"/>
      <c r="M173" s="1751"/>
      <c r="N173" s="1751"/>
      <c r="O173" s="1751"/>
      <c r="S173" s="1938"/>
    </row>
    <row r="174" spans="5:19" x14ac:dyDescent="0.2">
      <c r="E174" s="1751"/>
      <c r="F174" s="1751"/>
      <c r="G174" s="1751"/>
      <c r="H174" s="1751"/>
      <c r="I174" s="1751"/>
      <c r="J174" s="1751"/>
      <c r="K174" s="1751"/>
      <c r="L174" s="1751"/>
      <c r="M174" s="1751"/>
      <c r="N174" s="1751"/>
      <c r="O174" s="1751"/>
      <c r="S174" s="1938"/>
    </row>
    <row r="175" spans="5:19" x14ac:dyDescent="0.2">
      <c r="E175" s="1751"/>
      <c r="F175" s="1751"/>
      <c r="G175" s="1751"/>
      <c r="H175" s="1751"/>
      <c r="I175" s="1751"/>
      <c r="J175" s="1751"/>
      <c r="K175" s="1751"/>
      <c r="L175" s="1751"/>
      <c r="M175" s="1751"/>
      <c r="N175" s="1751"/>
      <c r="O175" s="1751"/>
      <c r="S175" s="1938"/>
    </row>
    <row r="176" spans="5:19" x14ac:dyDescent="0.2">
      <c r="E176" s="1751"/>
      <c r="F176" s="1751"/>
      <c r="G176" s="1751"/>
      <c r="H176" s="1751"/>
      <c r="I176" s="1751"/>
      <c r="J176" s="1751"/>
      <c r="K176" s="1751"/>
      <c r="L176" s="1751"/>
      <c r="M176" s="1751"/>
      <c r="N176" s="1751"/>
      <c r="O176" s="1751"/>
      <c r="S176" s="1938"/>
    </row>
    <row r="177" spans="5:19" x14ac:dyDescent="0.2">
      <c r="E177" s="1751"/>
      <c r="F177" s="1751"/>
      <c r="G177" s="1751"/>
      <c r="H177" s="1751"/>
      <c r="I177" s="1751"/>
      <c r="J177" s="1751"/>
      <c r="K177" s="1751"/>
      <c r="L177" s="1751"/>
      <c r="M177" s="1751"/>
      <c r="N177" s="1751"/>
      <c r="O177" s="1751"/>
      <c r="S177" s="1938"/>
    </row>
    <row r="178" spans="5:19" x14ac:dyDescent="0.2">
      <c r="E178" s="1751"/>
      <c r="F178" s="1751"/>
      <c r="G178" s="1751"/>
      <c r="H178" s="1751"/>
      <c r="I178" s="1751"/>
      <c r="J178" s="1751"/>
      <c r="K178" s="1751"/>
      <c r="L178" s="1751"/>
      <c r="M178" s="1751"/>
      <c r="N178" s="1751"/>
      <c r="O178" s="1751"/>
      <c r="S178" s="1938"/>
    </row>
    <row r="179" spans="5:19" x14ac:dyDescent="0.2">
      <c r="E179" s="1751"/>
      <c r="F179" s="1751"/>
      <c r="G179" s="1751"/>
      <c r="H179" s="1751"/>
      <c r="I179" s="1751"/>
      <c r="J179" s="1751"/>
      <c r="K179" s="1751"/>
      <c r="L179" s="1751"/>
      <c r="M179" s="1751"/>
      <c r="N179" s="1751"/>
      <c r="O179" s="1751"/>
      <c r="S179" s="1938"/>
    </row>
    <row r="180" spans="5:19" x14ac:dyDescent="0.2">
      <c r="E180" s="1751"/>
      <c r="F180" s="1751"/>
      <c r="G180" s="1751"/>
      <c r="H180" s="1751"/>
      <c r="I180" s="1751"/>
      <c r="J180" s="1751"/>
      <c r="K180" s="1751"/>
      <c r="L180" s="1751"/>
      <c r="M180" s="1751"/>
      <c r="N180" s="1751"/>
      <c r="O180" s="1751"/>
      <c r="S180" s="1938"/>
    </row>
    <row r="181" spans="5:19" x14ac:dyDescent="0.2">
      <c r="E181" s="1751"/>
      <c r="F181" s="1751"/>
      <c r="G181" s="1751"/>
      <c r="H181" s="1751"/>
      <c r="I181" s="1751"/>
      <c r="J181" s="1751"/>
      <c r="K181" s="1751"/>
      <c r="L181" s="1751"/>
      <c r="M181" s="1751"/>
      <c r="N181" s="1751"/>
      <c r="O181" s="1751"/>
      <c r="S181" s="1938"/>
    </row>
    <row r="182" spans="5:19" x14ac:dyDescent="0.2">
      <c r="E182" s="1751"/>
      <c r="F182" s="1751"/>
      <c r="G182" s="1751"/>
      <c r="H182" s="1751"/>
      <c r="I182" s="1751"/>
      <c r="J182" s="1751"/>
      <c r="K182" s="1751"/>
      <c r="L182" s="1751"/>
      <c r="M182" s="1751"/>
      <c r="N182" s="1751"/>
      <c r="O182" s="1751"/>
      <c r="S182" s="1938"/>
    </row>
    <row r="183" spans="5:19" x14ac:dyDescent="0.2">
      <c r="E183" s="1751"/>
      <c r="F183" s="1751"/>
      <c r="G183" s="1751"/>
      <c r="H183" s="1751"/>
      <c r="I183" s="1751"/>
      <c r="J183" s="1751"/>
      <c r="K183" s="1751"/>
      <c r="L183" s="1751"/>
      <c r="M183" s="1751"/>
      <c r="N183" s="1751"/>
      <c r="O183" s="1751"/>
      <c r="S183" s="1938"/>
    </row>
    <row r="184" spans="5:19" x14ac:dyDescent="0.2">
      <c r="E184" s="1751"/>
      <c r="F184" s="1751"/>
      <c r="G184" s="1751"/>
      <c r="H184" s="1751"/>
      <c r="I184" s="1751"/>
      <c r="J184" s="1751"/>
      <c r="K184" s="1751"/>
      <c r="L184" s="1751"/>
      <c r="M184" s="1751"/>
      <c r="N184" s="1751"/>
      <c r="O184" s="1751"/>
      <c r="S184" s="1938"/>
    </row>
    <row r="185" spans="5:19" x14ac:dyDescent="0.2">
      <c r="E185" s="1751"/>
      <c r="F185" s="1751"/>
      <c r="G185" s="1751"/>
      <c r="H185" s="1751"/>
      <c r="I185" s="1751"/>
      <c r="J185" s="1751"/>
      <c r="K185" s="1751"/>
      <c r="L185" s="1751"/>
      <c r="M185" s="1751"/>
      <c r="N185" s="1751"/>
      <c r="O185" s="1751"/>
      <c r="S185" s="1938"/>
    </row>
    <row r="186" spans="5:19" x14ac:dyDescent="0.2">
      <c r="E186" s="1751"/>
      <c r="F186" s="1751"/>
      <c r="G186" s="1751"/>
      <c r="H186" s="1751"/>
      <c r="I186" s="1751"/>
      <c r="J186" s="1751"/>
      <c r="K186" s="1751"/>
      <c r="L186" s="1751"/>
      <c r="M186" s="1751"/>
      <c r="N186" s="1751"/>
      <c r="O186" s="1751"/>
      <c r="S186" s="1938"/>
    </row>
    <row r="187" spans="5:19" x14ac:dyDescent="0.2">
      <c r="E187" s="1751"/>
      <c r="F187" s="1751"/>
      <c r="G187" s="1751"/>
      <c r="H187" s="1751"/>
      <c r="I187" s="1751"/>
      <c r="J187" s="1751"/>
      <c r="K187" s="1751"/>
      <c r="L187" s="1751"/>
      <c r="M187" s="1751"/>
      <c r="N187" s="1751"/>
      <c r="O187" s="1751"/>
      <c r="S187" s="1938"/>
    </row>
    <row r="188" spans="5:19" x14ac:dyDescent="0.2">
      <c r="E188" s="1751"/>
      <c r="F188" s="1751"/>
      <c r="G188" s="1751"/>
      <c r="H188" s="1751"/>
      <c r="I188" s="1751"/>
      <c r="J188" s="1751"/>
      <c r="K188" s="1751"/>
      <c r="L188" s="1751"/>
      <c r="M188" s="1751"/>
      <c r="N188" s="1751"/>
      <c r="O188" s="1751"/>
      <c r="S188" s="1938"/>
    </row>
    <row r="189" spans="5:19" x14ac:dyDescent="0.2">
      <c r="E189" s="1751"/>
      <c r="F189" s="1751"/>
      <c r="G189" s="1751"/>
      <c r="H189" s="1751"/>
      <c r="I189" s="1751"/>
      <c r="J189" s="1751"/>
      <c r="K189" s="1751"/>
      <c r="L189" s="1751"/>
      <c r="M189" s="1751"/>
      <c r="N189" s="1751"/>
      <c r="O189" s="1751"/>
      <c r="S189" s="1938"/>
    </row>
    <row r="190" spans="5:19" x14ac:dyDescent="0.2">
      <c r="E190" s="1751"/>
      <c r="F190" s="1751"/>
      <c r="G190" s="1751"/>
      <c r="H190" s="1751"/>
      <c r="I190" s="1751"/>
      <c r="J190" s="1751"/>
      <c r="K190" s="1751"/>
      <c r="L190" s="1751"/>
      <c r="M190" s="1751"/>
      <c r="N190" s="1751"/>
      <c r="O190" s="1751"/>
      <c r="S190" s="1938"/>
    </row>
    <row r="191" spans="5:19" x14ac:dyDescent="0.2">
      <c r="E191" s="1751"/>
      <c r="F191" s="1751"/>
      <c r="G191" s="1751"/>
      <c r="H191" s="1751"/>
      <c r="I191" s="1751"/>
      <c r="J191" s="1751"/>
      <c r="K191" s="1751"/>
      <c r="L191" s="1751"/>
      <c r="M191" s="1751"/>
      <c r="N191" s="1751"/>
      <c r="O191" s="1751"/>
      <c r="S191" s="1938"/>
    </row>
    <row r="192" spans="5:19" x14ac:dyDescent="0.2">
      <c r="E192" s="1751"/>
      <c r="F192" s="1751"/>
      <c r="G192" s="1751"/>
      <c r="H192" s="1751"/>
      <c r="I192" s="1751"/>
      <c r="J192" s="1751"/>
      <c r="K192" s="1751"/>
      <c r="L192" s="1751"/>
      <c r="M192" s="1751"/>
      <c r="N192" s="1751"/>
      <c r="O192" s="1751"/>
      <c r="S192" s="1938"/>
    </row>
    <row r="193" spans="5:19" x14ac:dyDescent="0.2">
      <c r="E193" s="1751"/>
      <c r="F193" s="1751"/>
      <c r="G193" s="1751"/>
      <c r="H193" s="1751"/>
      <c r="I193" s="1751"/>
      <c r="J193" s="1751"/>
      <c r="K193" s="1751"/>
      <c r="L193" s="1751"/>
      <c r="M193" s="1751"/>
      <c r="N193" s="1751"/>
      <c r="O193" s="1751"/>
      <c r="S193" s="1938"/>
    </row>
    <row r="194" spans="5:19" x14ac:dyDescent="0.2">
      <c r="E194" s="1751"/>
      <c r="F194" s="1751"/>
      <c r="G194" s="1751"/>
      <c r="H194" s="1751"/>
      <c r="I194" s="1751"/>
      <c r="J194" s="1751"/>
      <c r="K194" s="1751"/>
      <c r="L194" s="1751"/>
      <c r="M194" s="1751"/>
      <c r="N194" s="1751"/>
      <c r="O194" s="1751"/>
      <c r="S194" s="1938"/>
    </row>
    <row r="195" spans="5:19" x14ac:dyDescent="0.2">
      <c r="E195" s="1751"/>
      <c r="F195" s="1751"/>
      <c r="G195" s="1751"/>
      <c r="H195" s="1751"/>
      <c r="I195" s="1751"/>
      <c r="J195" s="1751"/>
      <c r="K195" s="1751"/>
      <c r="L195" s="1751"/>
      <c r="M195" s="1751"/>
      <c r="N195" s="1751"/>
      <c r="O195" s="1751"/>
      <c r="S195" s="1938"/>
    </row>
    <row r="196" spans="5:19" x14ac:dyDescent="0.2">
      <c r="E196" s="1751"/>
      <c r="F196" s="1751"/>
      <c r="G196" s="1751"/>
      <c r="H196" s="1751"/>
      <c r="I196" s="1751"/>
      <c r="J196" s="1751"/>
      <c r="K196" s="1751"/>
      <c r="L196" s="1751"/>
      <c r="M196" s="1751"/>
      <c r="N196" s="1751"/>
      <c r="O196" s="1751"/>
      <c r="S196" s="1938"/>
    </row>
    <row r="197" spans="5:19" x14ac:dyDescent="0.2">
      <c r="E197" s="1751"/>
      <c r="F197" s="1751"/>
      <c r="G197" s="1751"/>
      <c r="H197" s="1751"/>
      <c r="I197" s="1751"/>
      <c r="J197" s="1751"/>
      <c r="K197" s="1751"/>
      <c r="L197" s="1751"/>
      <c r="M197" s="1751"/>
      <c r="N197" s="1751"/>
      <c r="O197" s="1751"/>
      <c r="S197" s="1938"/>
    </row>
    <row r="198" spans="5:19" x14ac:dyDescent="0.2">
      <c r="E198" s="1751"/>
      <c r="F198" s="1751"/>
      <c r="G198" s="1751"/>
      <c r="H198" s="1751"/>
      <c r="I198" s="1751"/>
      <c r="J198" s="1751"/>
      <c r="K198" s="1751"/>
      <c r="L198" s="1751"/>
      <c r="M198" s="1751"/>
      <c r="N198" s="1751"/>
      <c r="O198" s="1751"/>
      <c r="S198" s="1938"/>
    </row>
    <row r="199" spans="5:19" x14ac:dyDescent="0.2">
      <c r="E199" s="1751"/>
      <c r="F199" s="1751"/>
      <c r="G199" s="1751"/>
      <c r="H199" s="1751"/>
      <c r="I199" s="1751"/>
      <c r="J199" s="1751"/>
      <c r="K199" s="1751"/>
      <c r="L199" s="1751"/>
      <c r="M199" s="1751"/>
      <c r="N199" s="1751"/>
      <c r="O199" s="1751"/>
      <c r="S199" s="1938"/>
    </row>
    <row r="200" spans="5:19" x14ac:dyDescent="0.2">
      <c r="E200" s="1751"/>
      <c r="F200" s="1751"/>
      <c r="G200" s="1751"/>
      <c r="H200" s="1751"/>
      <c r="I200" s="1751"/>
      <c r="J200" s="1751"/>
      <c r="K200" s="1751"/>
      <c r="L200" s="1751"/>
      <c r="M200" s="1751"/>
      <c r="N200" s="1751"/>
      <c r="O200" s="1751"/>
      <c r="S200" s="1938"/>
    </row>
    <row r="201" spans="5:19" x14ac:dyDescent="0.2">
      <c r="E201" s="1751"/>
      <c r="F201" s="1751"/>
      <c r="G201" s="1751"/>
      <c r="H201" s="1751"/>
      <c r="I201" s="1751"/>
      <c r="J201" s="1751"/>
      <c r="K201" s="1751"/>
      <c r="L201" s="1751"/>
      <c r="M201" s="1751"/>
      <c r="N201" s="1751"/>
      <c r="O201" s="1751"/>
      <c r="S201" s="1938"/>
    </row>
    <row r="202" spans="5:19" x14ac:dyDescent="0.2">
      <c r="E202" s="1751"/>
      <c r="F202" s="1751"/>
      <c r="G202" s="1751"/>
      <c r="H202" s="1751"/>
      <c r="I202" s="1751"/>
      <c r="J202" s="1751"/>
      <c r="K202" s="1751"/>
      <c r="L202" s="1751"/>
      <c r="M202" s="1751"/>
      <c r="N202" s="1751"/>
      <c r="O202" s="1751"/>
      <c r="S202" s="1938"/>
    </row>
    <row r="203" spans="5:19" x14ac:dyDescent="0.2">
      <c r="E203" s="1751"/>
      <c r="F203" s="1751"/>
      <c r="G203" s="1751"/>
      <c r="H203" s="1751"/>
      <c r="I203" s="1751"/>
      <c r="J203" s="1751"/>
      <c r="K203" s="1751"/>
      <c r="L203" s="1751"/>
      <c r="M203" s="1751"/>
      <c r="N203" s="1751"/>
      <c r="O203" s="1751"/>
      <c r="S203" s="1938"/>
    </row>
    <row r="204" spans="5:19" x14ac:dyDescent="0.2">
      <c r="E204" s="1751"/>
      <c r="F204" s="1751"/>
      <c r="G204" s="1751"/>
      <c r="H204" s="1751"/>
      <c r="I204" s="1751"/>
      <c r="J204" s="1751"/>
      <c r="K204" s="1751"/>
      <c r="L204" s="1751"/>
      <c r="M204" s="1751"/>
      <c r="N204" s="1751"/>
      <c r="O204" s="1751"/>
      <c r="S204" s="1938"/>
    </row>
    <row r="205" spans="5:19" x14ac:dyDescent="0.2">
      <c r="E205" s="1751"/>
      <c r="F205" s="1751"/>
      <c r="G205" s="1751"/>
      <c r="H205" s="1751"/>
      <c r="I205" s="1751"/>
      <c r="J205" s="1751"/>
      <c r="K205" s="1751"/>
      <c r="L205" s="1751"/>
      <c r="M205" s="1751"/>
      <c r="N205" s="1751"/>
      <c r="O205" s="1751"/>
      <c r="S205" s="1938"/>
    </row>
    <row r="206" spans="5:19" x14ac:dyDescent="0.2">
      <c r="E206" s="1751"/>
      <c r="F206" s="1751"/>
      <c r="G206" s="1751"/>
      <c r="H206" s="1751"/>
      <c r="I206" s="1751"/>
      <c r="J206" s="1751"/>
      <c r="K206" s="1751"/>
      <c r="L206" s="1751"/>
      <c r="M206" s="1751"/>
      <c r="N206" s="1751"/>
      <c r="O206" s="1751"/>
      <c r="S206" s="1938"/>
    </row>
    <row r="207" spans="5:19" x14ac:dyDescent="0.2">
      <c r="E207" s="1751"/>
      <c r="F207" s="1751"/>
      <c r="G207" s="1751"/>
      <c r="H207" s="1751"/>
      <c r="I207" s="1751"/>
      <c r="J207" s="1751"/>
      <c r="K207" s="1751"/>
      <c r="L207" s="1751"/>
      <c r="M207" s="1751"/>
      <c r="N207" s="1751"/>
      <c r="O207" s="1751"/>
      <c r="S207" s="1938"/>
    </row>
    <row r="208" spans="5:19" x14ac:dyDescent="0.2">
      <c r="E208" s="1751"/>
      <c r="F208" s="1751"/>
      <c r="G208" s="1751"/>
      <c r="H208" s="1751"/>
      <c r="I208" s="1751"/>
      <c r="J208" s="1751"/>
      <c r="K208" s="1751"/>
      <c r="L208" s="1751"/>
      <c r="M208" s="1751"/>
      <c r="N208" s="1751"/>
      <c r="O208" s="1751"/>
      <c r="S208" s="1938"/>
    </row>
    <row r="209" spans="5:19" x14ac:dyDescent="0.2">
      <c r="E209" s="1751"/>
      <c r="F209" s="1751"/>
      <c r="G209" s="1751"/>
      <c r="H209" s="1751"/>
      <c r="I209" s="1751"/>
      <c r="J209" s="1751"/>
      <c r="K209" s="1751"/>
      <c r="L209" s="1751"/>
      <c r="M209" s="1751"/>
      <c r="N209" s="1751"/>
      <c r="O209" s="1751"/>
      <c r="S209" s="1938"/>
    </row>
    <row r="210" spans="5:19" x14ac:dyDescent="0.2">
      <c r="E210" s="1751"/>
      <c r="F210" s="1751"/>
      <c r="G210" s="1751"/>
      <c r="H210" s="1751"/>
      <c r="I210" s="1751"/>
      <c r="J210" s="1751"/>
      <c r="K210" s="1751"/>
      <c r="L210" s="1751"/>
      <c r="M210" s="1751"/>
      <c r="N210" s="1751"/>
      <c r="O210" s="1751"/>
      <c r="S210" s="1938"/>
    </row>
    <row r="211" spans="5:19" x14ac:dyDescent="0.2">
      <c r="E211" s="1751"/>
      <c r="F211" s="1751"/>
      <c r="G211" s="1751"/>
      <c r="H211" s="1751"/>
      <c r="I211" s="1751"/>
      <c r="J211" s="1751"/>
      <c r="K211" s="1751"/>
      <c r="L211" s="1751"/>
      <c r="M211" s="1751"/>
      <c r="N211" s="1751"/>
      <c r="O211" s="1751"/>
      <c r="S211" s="1938"/>
    </row>
    <row r="212" spans="5:19" x14ac:dyDescent="0.2">
      <c r="E212" s="1751"/>
      <c r="F212" s="1751"/>
      <c r="G212" s="1751"/>
      <c r="H212" s="1751"/>
      <c r="I212" s="1751"/>
      <c r="J212" s="1751"/>
      <c r="K212" s="1751"/>
      <c r="L212" s="1751"/>
      <c r="M212" s="1751"/>
      <c r="N212" s="1751"/>
      <c r="O212" s="1751"/>
      <c r="S212" s="1938"/>
    </row>
    <row r="213" spans="5:19" x14ac:dyDescent="0.2">
      <c r="E213" s="1751"/>
      <c r="F213" s="1751"/>
      <c r="G213" s="1751"/>
      <c r="H213" s="1751"/>
      <c r="I213" s="1751"/>
      <c r="J213" s="1751"/>
      <c r="K213" s="1751"/>
      <c r="L213" s="1751"/>
      <c r="M213" s="1751"/>
      <c r="N213" s="1751"/>
      <c r="O213" s="1751"/>
      <c r="S213" s="1938"/>
    </row>
    <row r="214" spans="5:19" x14ac:dyDescent="0.2">
      <c r="E214" s="1751"/>
      <c r="F214" s="1751"/>
      <c r="G214" s="1751"/>
      <c r="H214" s="1751"/>
      <c r="I214" s="1751"/>
      <c r="J214" s="1751"/>
      <c r="K214" s="1751"/>
      <c r="L214" s="1751"/>
      <c r="M214" s="1751"/>
      <c r="N214" s="1751"/>
      <c r="O214" s="1751"/>
      <c r="S214" s="1938"/>
    </row>
    <row r="215" spans="5:19" x14ac:dyDescent="0.2">
      <c r="E215" s="1751"/>
      <c r="F215" s="1751"/>
      <c r="G215" s="1751"/>
      <c r="H215" s="1751"/>
      <c r="I215" s="1751"/>
      <c r="J215" s="1751"/>
      <c r="K215" s="1751"/>
      <c r="L215" s="1751"/>
      <c r="M215" s="1751"/>
      <c r="N215" s="1751"/>
      <c r="O215" s="1751"/>
      <c r="S215" s="1938"/>
    </row>
    <row r="216" spans="5:19" x14ac:dyDescent="0.2">
      <c r="E216" s="1751"/>
      <c r="F216" s="1751"/>
      <c r="G216" s="1751"/>
      <c r="H216" s="1751"/>
      <c r="I216" s="1751"/>
      <c r="J216" s="1751"/>
      <c r="K216" s="1751"/>
      <c r="L216" s="1751"/>
      <c r="M216" s="1751"/>
      <c r="N216" s="1751"/>
      <c r="O216" s="1751"/>
      <c r="S216" s="1938"/>
    </row>
    <row r="217" spans="5:19" x14ac:dyDescent="0.2">
      <c r="E217" s="1751"/>
      <c r="F217" s="1751"/>
      <c r="G217" s="1751"/>
      <c r="H217" s="1751"/>
      <c r="I217" s="1751"/>
      <c r="J217" s="1751"/>
      <c r="K217" s="1751"/>
      <c r="L217" s="1751"/>
      <c r="M217" s="1751"/>
      <c r="N217" s="1751"/>
      <c r="O217" s="1751"/>
      <c r="S217" s="1938"/>
    </row>
    <row r="218" spans="5:19" x14ac:dyDescent="0.2">
      <c r="E218" s="1751"/>
      <c r="F218" s="1751"/>
      <c r="G218" s="1751"/>
      <c r="H218" s="1751"/>
      <c r="I218" s="1751"/>
      <c r="J218" s="1751"/>
      <c r="K218" s="1751"/>
      <c r="L218" s="1751"/>
      <c r="M218" s="1751"/>
      <c r="N218" s="1751"/>
      <c r="O218" s="1751"/>
      <c r="S218" s="1938"/>
    </row>
    <row r="219" spans="5:19" x14ac:dyDescent="0.2">
      <c r="E219" s="1751"/>
      <c r="F219" s="1751"/>
      <c r="G219" s="1751"/>
      <c r="H219" s="1751"/>
      <c r="I219" s="1751"/>
      <c r="J219" s="1751"/>
      <c r="K219" s="1751"/>
      <c r="L219" s="1751"/>
      <c r="M219" s="1751"/>
      <c r="N219" s="1751"/>
      <c r="O219" s="1751"/>
      <c r="S219" s="1938"/>
    </row>
    <row r="220" spans="5:19" x14ac:dyDescent="0.2">
      <c r="E220" s="1751"/>
      <c r="F220" s="1751"/>
      <c r="G220" s="1751"/>
      <c r="H220" s="1751"/>
      <c r="I220" s="1751"/>
      <c r="J220" s="1751"/>
      <c r="K220" s="1751"/>
      <c r="L220" s="1751"/>
      <c r="M220" s="1751"/>
      <c r="N220" s="1751"/>
      <c r="O220" s="1751"/>
      <c r="S220" s="1938"/>
    </row>
    <row r="221" spans="5:19" x14ac:dyDescent="0.2">
      <c r="E221" s="1751"/>
      <c r="F221" s="1751"/>
      <c r="G221" s="1751"/>
      <c r="H221" s="1751"/>
      <c r="I221" s="1751"/>
      <c r="J221" s="1751"/>
      <c r="K221" s="1751"/>
      <c r="L221" s="1751"/>
      <c r="M221" s="1751"/>
      <c r="N221" s="1751"/>
      <c r="O221" s="1751"/>
      <c r="S221" s="1938"/>
    </row>
    <row r="222" spans="5:19" x14ac:dyDescent="0.2">
      <c r="E222" s="1751"/>
      <c r="F222" s="1751"/>
      <c r="G222" s="1751"/>
      <c r="H222" s="1751"/>
      <c r="I222" s="1751"/>
      <c r="J222" s="1751"/>
      <c r="K222" s="1751"/>
      <c r="L222" s="1751"/>
      <c r="M222" s="1751"/>
      <c r="N222" s="1751"/>
      <c r="O222" s="1751"/>
      <c r="S222" s="1938"/>
    </row>
    <row r="223" spans="5:19" x14ac:dyDescent="0.2">
      <c r="E223" s="1751"/>
      <c r="F223" s="1751"/>
      <c r="G223" s="1751"/>
      <c r="H223" s="1751"/>
      <c r="I223" s="1751"/>
      <c r="J223" s="1751"/>
      <c r="K223" s="1751"/>
      <c r="L223" s="1751"/>
      <c r="M223" s="1751"/>
      <c r="N223" s="1751"/>
      <c r="O223" s="1751"/>
      <c r="S223" s="1938"/>
    </row>
    <row r="224" spans="5:19" x14ac:dyDescent="0.2">
      <c r="E224" s="1751"/>
      <c r="F224" s="1751"/>
      <c r="G224" s="1751"/>
      <c r="H224" s="1751"/>
      <c r="I224" s="1751"/>
      <c r="J224" s="1751"/>
      <c r="K224" s="1751"/>
      <c r="L224" s="1751"/>
      <c r="M224" s="1751"/>
      <c r="N224" s="1751"/>
      <c r="O224" s="1751"/>
      <c r="S224" s="1938"/>
    </row>
    <row r="225" spans="5:19" x14ac:dyDescent="0.2">
      <c r="E225" s="1751"/>
      <c r="F225" s="1751"/>
      <c r="G225" s="1751"/>
      <c r="H225" s="1751"/>
      <c r="I225" s="1751"/>
      <c r="J225" s="1751"/>
      <c r="K225" s="1751"/>
      <c r="L225" s="1751"/>
      <c r="M225" s="1751"/>
      <c r="N225" s="1751"/>
      <c r="O225" s="1751"/>
      <c r="S225" s="1938"/>
    </row>
    <row r="226" spans="5:19" x14ac:dyDescent="0.2">
      <c r="E226" s="1751"/>
      <c r="F226" s="1751"/>
      <c r="G226" s="1751"/>
      <c r="H226" s="1751"/>
      <c r="I226" s="1751"/>
      <c r="J226" s="1751"/>
      <c r="K226" s="1751"/>
      <c r="L226" s="1751"/>
      <c r="M226" s="1751"/>
      <c r="N226" s="1751"/>
      <c r="O226" s="1751"/>
      <c r="S226" s="1938"/>
    </row>
    <row r="227" spans="5:19" x14ac:dyDescent="0.2">
      <c r="E227" s="1751"/>
      <c r="F227" s="1751"/>
      <c r="G227" s="1751"/>
      <c r="H227" s="1751"/>
      <c r="I227" s="1751"/>
      <c r="J227" s="1751"/>
      <c r="K227" s="1751"/>
      <c r="L227" s="1751"/>
      <c r="M227" s="1751"/>
      <c r="N227" s="1751"/>
      <c r="O227" s="1751"/>
      <c r="S227" s="1938"/>
    </row>
    <row r="228" spans="5:19" x14ac:dyDescent="0.2">
      <c r="E228" s="1751"/>
      <c r="F228" s="1751"/>
      <c r="G228" s="1751"/>
      <c r="H228" s="1751"/>
      <c r="I228" s="1751"/>
      <c r="J228" s="1751"/>
      <c r="K228" s="1751"/>
      <c r="L228" s="1751"/>
      <c r="M228" s="1751"/>
      <c r="N228" s="1751"/>
      <c r="O228" s="1751"/>
      <c r="S228" s="1938"/>
    </row>
    <row r="229" spans="5:19" x14ac:dyDescent="0.2">
      <c r="E229" s="1751"/>
      <c r="F229" s="1751"/>
      <c r="G229" s="1751"/>
      <c r="H229" s="1751"/>
      <c r="I229" s="1751"/>
      <c r="J229" s="1751"/>
      <c r="K229" s="1751"/>
      <c r="L229" s="1751"/>
      <c r="M229" s="1751"/>
      <c r="N229" s="1751"/>
      <c r="O229" s="1751"/>
      <c r="S229" s="1938"/>
    </row>
    <row r="230" spans="5:19" x14ac:dyDescent="0.2">
      <c r="E230" s="1751"/>
      <c r="F230" s="1751"/>
      <c r="G230" s="1751"/>
      <c r="H230" s="1751"/>
      <c r="I230" s="1751"/>
      <c r="J230" s="1751"/>
      <c r="K230" s="1751"/>
      <c r="L230" s="1751"/>
      <c r="M230" s="1751"/>
      <c r="N230" s="1751"/>
      <c r="O230" s="1751"/>
      <c r="S230" s="1938"/>
    </row>
    <row r="231" spans="5:19" x14ac:dyDescent="0.2">
      <c r="E231" s="1751"/>
      <c r="F231" s="1751"/>
      <c r="G231" s="1751"/>
      <c r="H231" s="1751"/>
      <c r="I231" s="1751"/>
      <c r="J231" s="1751"/>
      <c r="K231" s="1751"/>
      <c r="L231" s="1751"/>
      <c r="M231" s="1751"/>
      <c r="N231" s="1751"/>
      <c r="O231" s="1751"/>
      <c r="S231" s="1938"/>
    </row>
    <row r="232" spans="5:19" x14ac:dyDescent="0.2">
      <c r="E232" s="1751"/>
      <c r="F232" s="1751"/>
      <c r="G232" s="1751"/>
      <c r="H232" s="1751"/>
      <c r="I232" s="1751"/>
      <c r="J232" s="1751"/>
      <c r="K232" s="1751"/>
      <c r="L232" s="1751"/>
      <c r="M232" s="1751"/>
      <c r="N232" s="1751"/>
      <c r="O232" s="1751"/>
      <c r="S232" s="1938"/>
    </row>
    <row r="233" spans="5:19" x14ac:dyDescent="0.2">
      <c r="E233" s="1751"/>
      <c r="F233" s="1751"/>
      <c r="G233" s="1751"/>
      <c r="H233" s="1751"/>
      <c r="I233" s="1751"/>
      <c r="J233" s="1751"/>
      <c r="K233" s="1751"/>
      <c r="L233" s="1751"/>
      <c r="M233" s="1751"/>
      <c r="N233" s="1751"/>
      <c r="O233" s="1751"/>
      <c r="S233" s="1938"/>
    </row>
    <row r="234" spans="5:19" x14ac:dyDescent="0.2">
      <c r="E234" s="1751"/>
      <c r="F234" s="1751"/>
      <c r="G234" s="1751"/>
      <c r="H234" s="1751"/>
      <c r="I234" s="1751"/>
      <c r="J234" s="1751"/>
      <c r="K234" s="1751"/>
      <c r="L234" s="1751"/>
      <c r="M234" s="1751"/>
      <c r="N234" s="1751"/>
      <c r="O234" s="1751"/>
      <c r="S234" s="1938"/>
    </row>
    <row r="235" spans="5:19" x14ac:dyDescent="0.2">
      <c r="E235" s="1751"/>
      <c r="F235" s="1751"/>
      <c r="G235" s="1751"/>
      <c r="H235" s="1751"/>
      <c r="I235" s="1751"/>
      <c r="J235" s="1751"/>
      <c r="K235" s="1751"/>
      <c r="L235" s="1751"/>
      <c r="M235" s="1751"/>
      <c r="N235" s="1751"/>
      <c r="O235" s="1751"/>
      <c r="S235" s="1938"/>
    </row>
    <row r="236" spans="5:19" x14ac:dyDescent="0.2">
      <c r="E236" s="1751"/>
      <c r="F236" s="1751"/>
      <c r="G236" s="1751"/>
      <c r="H236" s="1751"/>
      <c r="I236" s="1751"/>
      <c r="J236" s="1751"/>
      <c r="K236" s="1751"/>
      <c r="L236" s="1751"/>
      <c r="M236" s="1751"/>
      <c r="N236" s="1751"/>
      <c r="O236" s="1751"/>
      <c r="S236" s="1938"/>
    </row>
    <row r="237" spans="5:19" x14ac:dyDescent="0.2">
      <c r="E237" s="1751"/>
      <c r="F237" s="1751"/>
      <c r="G237" s="1751"/>
      <c r="H237" s="1751"/>
      <c r="I237" s="1751"/>
      <c r="J237" s="1751"/>
      <c r="K237" s="1751"/>
      <c r="L237" s="1751"/>
      <c r="M237" s="1751"/>
      <c r="N237" s="1751"/>
      <c r="O237" s="1751"/>
      <c r="S237" s="1938"/>
    </row>
    <row r="238" spans="5:19" x14ac:dyDescent="0.2">
      <c r="E238" s="1751"/>
      <c r="F238" s="1751"/>
      <c r="G238" s="1751"/>
      <c r="H238" s="1751"/>
      <c r="I238" s="1751"/>
      <c r="J238" s="1751"/>
      <c r="K238" s="1751"/>
      <c r="L238" s="1751"/>
      <c r="M238" s="1751"/>
      <c r="N238" s="1751"/>
      <c r="O238" s="1751"/>
      <c r="S238" s="1938"/>
    </row>
    <row r="239" spans="5:19" x14ac:dyDescent="0.2">
      <c r="E239" s="1751"/>
      <c r="F239" s="1751"/>
      <c r="G239" s="1751"/>
      <c r="H239" s="1751"/>
      <c r="I239" s="1751"/>
      <c r="J239" s="1751"/>
      <c r="K239" s="1751"/>
      <c r="L239" s="1751"/>
      <c r="M239" s="1751"/>
      <c r="N239" s="1751"/>
      <c r="O239" s="1751"/>
      <c r="S239" s="1938"/>
    </row>
    <row r="240" spans="5:19" x14ac:dyDescent="0.2">
      <c r="E240" s="1751"/>
      <c r="F240" s="1751"/>
      <c r="G240" s="1751"/>
      <c r="H240" s="1751"/>
      <c r="I240" s="1751"/>
      <c r="J240" s="1751"/>
      <c r="K240" s="1751"/>
      <c r="L240" s="1751"/>
      <c r="M240" s="1751"/>
      <c r="N240" s="1751"/>
      <c r="O240" s="1751"/>
      <c r="S240" s="1938"/>
    </row>
    <row r="241" spans="5:19" x14ac:dyDescent="0.2">
      <c r="E241" s="1751"/>
      <c r="F241" s="1751"/>
      <c r="G241" s="1751"/>
      <c r="H241" s="1751"/>
      <c r="I241" s="1751"/>
      <c r="J241" s="1751"/>
      <c r="K241" s="1751"/>
      <c r="L241" s="1751"/>
      <c r="M241" s="1751"/>
      <c r="N241" s="1751"/>
      <c r="O241" s="1751"/>
      <c r="S241" s="1938"/>
    </row>
    <row r="242" spans="5:19" x14ac:dyDescent="0.2">
      <c r="E242" s="1751"/>
      <c r="F242" s="1751"/>
      <c r="G242" s="1751"/>
      <c r="H242" s="1751"/>
      <c r="I242" s="1751"/>
      <c r="J242" s="1751"/>
      <c r="K242" s="1751"/>
      <c r="L242" s="1751"/>
      <c r="M242" s="1751"/>
      <c r="N242" s="1751"/>
      <c r="O242" s="1751"/>
      <c r="S242" s="1938"/>
    </row>
    <row r="243" spans="5:19" x14ac:dyDescent="0.2">
      <c r="E243" s="1751"/>
      <c r="F243" s="1751"/>
      <c r="G243" s="1751"/>
      <c r="H243" s="1751"/>
      <c r="I243" s="1751"/>
      <c r="J243" s="1751"/>
      <c r="K243" s="1751"/>
      <c r="L243" s="1751"/>
      <c r="M243" s="1751"/>
      <c r="N243" s="1751"/>
      <c r="O243" s="1751"/>
      <c r="S243" s="1938"/>
    </row>
    <row r="244" spans="5:19" x14ac:dyDescent="0.2">
      <c r="E244" s="1751"/>
      <c r="F244" s="1751"/>
      <c r="G244" s="1751"/>
      <c r="H244" s="1751"/>
      <c r="I244" s="1751"/>
      <c r="J244" s="1751"/>
      <c r="K244" s="1751"/>
      <c r="L244" s="1751"/>
      <c r="M244" s="1751"/>
      <c r="N244" s="1751"/>
      <c r="O244" s="1751"/>
      <c r="S244" s="1938"/>
    </row>
    <row r="245" spans="5:19" x14ac:dyDescent="0.2">
      <c r="E245" s="1751"/>
      <c r="F245" s="1751"/>
      <c r="G245" s="1751"/>
      <c r="H245" s="1751"/>
      <c r="I245" s="1751"/>
      <c r="J245" s="1751"/>
      <c r="K245" s="1751"/>
      <c r="L245" s="1751"/>
      <c r="M245" s="1751"/>
      <c r="N245" s="1751"/>
      <c r="O245" s="1751"/>
      <c r="S245" s="1938"/>
    </row>
    <row r="246" spans="5:19" x14ac:dyDescent="0.2">
      <c r="E246" s="1751"/>
      <c r="F246" s="1751"/>
      <c r="G246" s="1751"/>
      <c r="H246" s="1751"/>
      <c r="I246" s="1751"/>
      <c r="J246" s="1751"/>
      <c r="K246" s="1751"/>
      <c r="L246" s="1751"/>
      <c r="M246" s="1751"/>
      <c r="N246" s="1751"/>
      <c r="O246" s="1751"/>
      <c r="S246" s="1938"/>
    </row>
    <row r="247" spans="5:19" x14ac:dyDescent="0.2">
      <c r="E247" s="1751"/>
      <c r="F247" s="1751"/>
      <c r="G247" s="1751"/>
      <c r="H247" s="1751"/>
      <c r="I247" s="1751"/>
      <c r="J247" s="1751"/>
      <c r="K247" s="1751"/>
      <c r="L247" s="1751"/>
      <c r="M247" s="1751"/>
      <c r="N247" s="1751"/>
      <c r="O247" s="1751"/>
      <c r="S247" s="1938"/>
    </row>
    <row r="248" spans="5:19" x14ac:dyDescent="0.2">
      <c r="E248" s="1751"/>
      <c r="F248" s="1751"/>
      <c r="G248" s="1751"/>
      <c r="H248" s="1751"/>
      <c r="I248" s="1751"/>
      <c r="J248" s="1751"/>
      <c r="K248" s="1751"/>
      <c r="L248" s="1751"/>
      <c r="M248" s="1751"/>
      <c r="N248" s="1751"/>
      <c r="O248" s="1751"/>
      <c r="S248" s="1938"/>
    </row>
    <row r="249" spans="5:19" x14ac:dyDescent="0.2">
      <c r="E249" s="1751"/>
      <c r="F249" s="1751"/>
      <c r="G249" s="1751"/>
      <c r="H249" s="1751"/>
      <c r="I249" s="1751"/>
      <c r="J249" s="1751"/>
      <c r="K249" s="1751"/>
      <c r="L249" s="1751"/>
      <c r="M249" s="1751"/>
      <c r="N249" s="1751"/>
      <c r="O249" s="1751"/>
      <c r="S249" s="1938"/>
    </row>
    <row r="250" spans="5:19" x14ac:dyDescent="0.2">
      <c r="E250" s="1751"/>
      <c r="F250" s="1751"/>
      <c r="G250" s="1751"/>
      <c r="H250" s="1751"/>
      <c r="I250" s="1751"/>
      <c r="J250" s="1751"/>
      <c r="K250" s="1751"/>
      <c r="L250" s="1751"/>
      <c r="M250" s="1751"/>
      <c r="N250" s="1751"/>
      <c r="O250" s="1751"/>
      <c r="S250" s="1938"/>
    </row>
    <row r="251" spans="5:19" x14ac:dyDescent="0.2">
      <c r="E251" s="1751"/>
      <c r="F251" s="1751"/>
      <c r="G251" s="1751"/>
      <c r="H251" s="1751"/>
      <c r="I251" s="1751"/>
      <c r="J251" s="1751"/>
      <c r="K251" s="1751"/>
      <c r="L251" s="1751"/>
      <c r="M251" s="1751"/>
      <c r="N251" s="1751"/>
      <c r="O251" s="1751"/>
      <c r="S251" s="1938"/>
    </row>
    <row r="252" spans="5:19" x14ac:dyDescent="0.2">
      <c r="E252" s="1751"/>
      <c r="F252" s="1751"/>
      <c r="G252" s="1751"/>
      <c r="H252" s="1751"/>
      <c r="I252" s="1751"/>
      <c r="J252" s="1751"/>
      <c r="K252" s="1751"/>
      <c r="L252" s="1751"/>
      <c r="M252" s="1751"/>
      <c r="N252" s="1751"/>
      <c r="O252" s="1751"/>
      <c r="S252" s="1938"/>
    </row>
    <row r="253" spans="5:19" x14ac:dyDescent="0.2">
      <c r="E253" s="1751"/>
      <c r="F253" s="1751"/>
      <c r="G253" s="1751"/>
      <c r="H253" s="1751"/>
      <c r="I253" s="1751"/>
      <c r="J253" s="1751"/>
      <c r="K253" s="1751"/>
      <c r="L253" s="1751"/>
      <c r="M253" s="1751"/>
      <c r="N253" s="1751"/>
      <c r="O253" s="1751"/>
      <c r="S253" s="1938"/>
    </row>
    <row r="254" spans="5:19" x14ac:dyDescent="0.2">
      <c r="E254" s="1751"/>
      <c r="F254" s="1751"/>
      <c r="G254" s="1751"/>
      <c r="H254" s="1751"/>
      <c r="I254" s="1751"/>
      <c r="J254" s="1751"/>
      <c r="K254" s="1751"/>
      <c r="L254" s="1751"/>
      <c r="M254" s="1751"/>
      <c r="N254" s="1751"/>
      <c r="O254" s="1751"/>
      <c r="S254" s="1938"/>
    </row>
    <row r="255" spans="5:19" x14ac:dyDescent="0.2">
      <c r="E255" s="1751"/>
      <c r="F255" s="1751"/>
      <c r="G255" s="1751"/>
      <c r="H255" s="1751"/>
      <c r="I255" s="1751"/>
      <c r="J255" s="1751"/>
      <c r="K255" s="1751"/>
      <c r="L255" s="1751"/>
      <c r="M255" s="1751"/>
      <c r="N255" s="1751"/>
      <c r="O255" s="1751"/>
      <c r="S255" s="1938"/>
    </row>
    <row r="256" spans="5:19" x14ac:dyDescent="0.2">
      <c r="E256" s="1751"/>
      <c r="F256" s="1751"/>
      <c r="G256" s="1751"/>
      <c r="H256" s="1751"/>
      <c r="I256" s="1751"/>
      <c r="J256" s="1751"/>
      <c r="K256" s="1751"/>
      <c r="L256" s="1751"/>
      <c r="M256" s="1751"/>
      <c r="N256" s="1751"/>
      <c r="O256" s="1751"/>
      <c r="S256" s="1938"/>
    </row>
    <row r="257" spans="5:19" x14ac:dyDescent="0.2">
      <c r="E257" s="1751"/>
      <c r="F257" s="1751"/>
      <c r="G257" s="1751"/>
      <c r="H257" s="1751"/>
      <c r="I257" s="1751"/>
      <c r="J257" s="1751"/>
      <c r="K257" s="1751"/>
      <c r="L257" s="1751"/>
      <c r="M257" s="1751"/>
      <c r="N257" s="1751"/>
      <c r="O257" s="1751"/>
      <c r="S257" s="1938"/>
    </row>
    <row r="258" spans="5:19" x14ac:dyDescent="0.2">
      <c r="E258" s="1751"/>
      <c r="F258" s="1751"/>
      <c r="G258" s="1751"/>
      <c r="H258" s="1751"/>
      <c r="I258" s="1751"/>
      <c r="J258" s="1751"/>
      <c r="K258" s="1751"/>
      <c r="L258" s="1751"/>
      <c r="M258" s="1751"/>
      <c r="N258" s="1751"/>
      <c r="O258" s="1751"/>
      <c r="S258" s="1938"/>
    </row>
    <row r="259" spans="5:19" x14ac:dyDescent="0.2">
      <c r="E259" s="1751"/>
      <c r="F259" s="1751"/>
      <c r="G259" s="1751"/>
      <c r="H259" s="1751"/>
      <c r="I259" s="1751"/>
      <c r="J259" s="1751"/>
      <c r="K259" s="1751"/>
      <c r="L259" s="1751"/>
      <c r="M259" s="1751"/>
      <c r="N259" s="1751"/>
      <c r="O259" s="1751"/>
      <c r="S259" s="1938"/>
    </row>
    <row r="260" spans="5:19" x14ac:dyDescent="0.2">
      <c r="E260" s="1751"/>
      <c r="F260" s="1751"/>
      <c r="G260" s="1751"/>
      <c r="H260" s="1751"/>
      <c r="I260" s="1751"/>
      <c r="J260" s="1751"/>
      <c r="K260" s="1751"/>
      <c r="L260" s="1751"/>
      <c r="M260" s="1751"/>
      <c r="N260" s="1751"/>
      <c r="O260" s="1751"/>
      <c r="S260" s="1938"/>
    </row>
    <row r="261" spans="5:19" x14ac:dyDescent="0.2">
      <c r="E261" s="1751"/>
      <c r="F261" s="1751"/>
      <c r="G261" s="1751"/>
      <c r="H261" s="1751"/>
      <c r="I261" s="1751"/>
      <c r="J261" s="1751"/>
      <c r="K261" s="1751"/>
      <c r="L261" s="1751"/>
      <c r="M261" s="1751"/>
      <c r="N261" s="1751"/>
      <c r="O261" s="1751"/>
      <c r="S261" s="1938"/>
    </row>
    <row r="262" spans="5:19" x14ac:dyDescent="0.2">
      <c r="E262" s="1751"/>
      <c r="F262" s="1751"/>
      <c r="G262" s="1751"/>
      <c r="H262" s="1751"/>
      <c r="I262" s="1751"/>
      <c r="J262" s="1751"/>
      <c r="K262" s="1751"/>
      <c r="L262" s="1751"/>
      <c r="M262" s="1751"/>
      <c r="N262" s="1751"/>
      <c r="O262" s="1751"/>
      <c r="S262" s="1938"/>
    </row>
    <row r="263" spans="5:19" x14ac:dyDescent="0.2">
      <c r="E263" s="1751"/>
      <c r="F263" s="1751"/>
      <c r="G263" s="1751"/>
      <c r="H263" s="1751"/>
      <c r="I263" s="1751"/>
      <c r="J263" s="1751"/>
      <c r="K263" s="1751"/>
      <c r="L263" s="1751"/>
      <c r="M263" s="1751"/>
      <c r="N263" s="1751"/>
      <c r="O263" s="1751"/>
      <c r="S263" s="1938"/>
    </row>
    <row r="264" spans="5:19" x14ac:dyDescent="0.2">
      <c r="E264" s="1751"/>
      <c r="F264" s="1751"/>
      <c r="G264" s="1751"/>
      <c r="H264" s="1751"/>
      <c r="I264" s="1751"/>
      <c r="J264" s="1751"/>
      <c r="K264" s="1751"/>
      <c r="L264" s="1751"/>
      <c r="M264" s="1751"/>
      <c r="N264" s="1751"/>
      <c r="O264" s="1751"/>
      <c r="S264" s="1938"/>
    </row>
    <row r="265" spans="5:19" x14ac:dyDescent="0.2">
      <c r="E265" s="1751"/>
      <c r="F265" s="1751"/>
      <c r="G265" s="1751"/>
      <c r="H265" s="1751"/>
      <c r="I265" s="1751"/>
      <c r="J265" s="1751"/>
      <c r="K265" s="1751"/>
      <c r="L265" s="1751"/>
      <c r="M265" s="1751"/>
      <c r="N265" s="1751"/>
      <c r="O265" s="1751"/>
      <c r="S265" s="1938"/>
    </row>
    <row r="266" spans="5:19" x14ac:dyDescent="0.2">
      <c r="E266" s="1751"/>
      <c r="F266" s="1751"/>
      <c r="G266" s="1751"/>
      <c r="H266" s="1751"/>
      <c r="I266" s="1751"/>
      <c r="J266" s="1751"/>
      <c r="K266" s="1751"/>
      <c r="L266" s="1751"/>
      <c r="M266" s="1751"/>
      <c r="N266" s="1751"/>
      <c r="O266" s="1751"/>
      <c r="S266" s="1938"/>
    </row>
    <row r="267" spans="5:19" x14ac:dyDescent="0.2">
      <c r="E267" s="1751"/>
      <c r="F267" s="1751"/>
      <c r="G267" s="1751"/>
      <c r="H267" s="1751"/>
      <c r="I267" s="1751"/>
      <c r="J267" s="1751"/>
      <c r="K267" s="1751"/>
      <c r="L267" s="1751"/>
      <c r="M267" s="1751"/>
      <c r="N267" s="1751"/>
      <c r="O267" s="1751"/>
      <c r="S267" s="1938"/>
    </row>
    <row r="268" spans="5:19" x14ac:dyDescent="0.2">
      <c r="E268" s="1751"/>
      <c r="F268" s="1751"/>
      <c r="G268" s="1751"/>
      <c r="H268" s="1751"/>
      <c r="I268" s="1751"/>
      <c r="J268" s="1751"/>
      <c r="K268" s="1751"/>
      <c r="L268" s="1751"/>
      <c r="M268" s="1751"/>
      <c r="N268" s="1751"/>
      <c r="O268" s="1751"/>
      <c r="S268" s="1938"/>
    </row>
    <row r="269" spans="5:19" x14ac:dyDescent="0.2">
      <c r="E269" s="1751"/>
      <c r="F269" s="1751"/>
      <c r="G269" s="1751"/>
      <c r="H269" s="1751"/>
      <c r="I269" s="1751"/>
      <c r="J269" s="1751"/>
      <c r="K269" s="1751"/>
      <c r="L269" s="1751"/>
      <c r="M269" s="1751"/>
      <c r="N269" s="1751"/>
      <c r="O269" s="1751"/>
      <c r="S269" s="1938"/>
    </row>
    <row r="270" spans="5:19" x14ac:dyDescent="0.2">
      <c r="E270" s="1751"/>
      <c r="F270" s="1751"/>
      <c r="G270" s="1751"/>
      <c r="H270" s="1751"/>
      <c r="I270" s="1751"/>
      <c r="J270" s="1751"/>
      <c r="K270" s="1751"/>
      <c r="L270" s="1751"/>
      <c r="M270" s="1751"/>
      <c r="N270" s="1751"/>
      <c r="O270" s="1751"/>
      <c r="S270" s="1938"/>
    </row>
    <row r="271" spans="5:19" x14ac:dyDescent="0.2">
      <c r="E271" s="1751"/>
      <c r="F271" s="1751"/>
      <c r="G271" s="1751"/>
      <c r="H271" s="1751"/>
      <c r="I271" s="1751"/>
      <c r="J271" s="1751"/>
      <c r="K271" s="1751"/>
      <c r="L271" s="1751"/>
      <c r="M271" s="1751"/>
      <c r="N271" s="1751"/>
      <c r="O271" s="1751"/>
      <c r="S271" s="1938"/>
    </row>
    <row r="272" spans="5:19" x14ac:dyDescent="0.2">
      <c r="E272" s="1751"/>
      <c r="F272" s="1751"/>
      <c r="G272" s="1751"/>
      <c r="H272" s="1751"/>
      <c r="I272" s="1751"/>
      <c r="J272" s="1751"/>
      <c r="K272" s="1751"/>
      <c r="L272" s="1751"/>
      <c r="M272" s="1751"/>
      <c r="N272" s="1751"/>
      <c r="O272" s="1751"/>
      <c r="S272" s="1938"/>
    </row>
    <row r="273" spans="5:19" x14ac:dyDescent="0.2">
      <c r="E273" s="1751"/>
      <c r="F273" s="1751"/>
      <c r="G273" s="1751"/>
      <c r="H273" s="1751"/>
      <c r="I273" s="1751"/>
      <c r="J273" s="1751"/>
      <c r="K273" s="1751"/>
      <c r="L273" s="1751"/>
      <c r="M273" s="1751"/>
      <c r="N273" s="1751"/>
      <c r="O273" s="1751"/>
      <c r="S273" s="1938"/>
    </row>
    <row r="274" spans="5:19" x14ac:dyDescent="0.2">
      <c r="E274" s="1751"/>
      <c r="F274" s="1751"/>
      <c r="G274" s="1751"/>
      <c r="H274" s="1751"/>
      <c r="I274" s="1751"/>
      <c r="J274" s="1751"/>
      <c r="K274" s="1751"/>
      <c r="L274" s="1751"/>
      <c r="M274" s="1751"/>
      <c r="N274" s="1751"/>
      <c r="O274" s="1751"/>
      <c r="S274" s="1938"/>
    </row>
    <row r="275" spans="5:19" x14ac:dyDescent="0.2">
      <c r="E275" s="1751"/>
      <c r="F275" s="1751"/>
      <c r="G275" s="1751"/>
      <c r="H275" s="1751"/>
      <c r="I275" s="1751"/>
      <c r="J275" s="1751"/>
      <c r="K275" s="1751"/>
      <c r="L275" s="1751"/>
      <c r="M275" s="1751"/>
      <c r="N275" s="1751"/>
      <c r="O275" s="1751"/>
      <c r="S275" s="1938"/>
    </row>
    <row r="276" spans="5:19" x14ac:dyDescent="0.2">
      <c r="E276" s="1751"/>
      <c r="F276" s="1751"/>
      <c r="G276" s="1751"/>
      <c r="H276" s="1751"/>
      <c r="I276" s="1751"/>
      <c r="J276" s="1751"/>
      <c r="K276" s="1751"/>
      <c r="L276" s="1751"/>
      <c r="M276" s="1751"/>
      <c r="N276" s="1751"/>
      <c r="O276" s="1751"/>
      <c r="S276" s="1938"/>
    </row>
    <row r="277" spans="5:19" x14ac:dyDescent="0.2">
      <c r="E277" s="1751"/>
      <c r="F277" s="1751"/>
      <c r="G277" s="1751"/>
      <c r="H277" s="1751"/>
      <c r="I277" s="1751"/>
      <c r="J277" s="1751"/>
      <c r="K277" s="1751"/>
      <c r="L277" s="1751"/>
      <c r="M277" s="1751"/>
      <c r="N277" s="1751"/>
      <c r="O277" s="1751"/>
      <c r="S277" s="1938"/>
    </row>
    <row r="278" spans="5:19" x14ac:dyDescent="0.2">
      <c r="E278" s="1751"/>
      <c r="F278" s="1751"/>
      <c r="G278" s="1751"/>
      <c r="H278" s="1751"/>
      <c r="I278" s="1751"/>
      <c r="J278" s="1751"/>
      <c r="K278" s="1751"/>
      <c r="L278" s="1751"/>
      <c r="M278" s="1751"/>
      <c r="N278" s="1751"/>
      <c r="O278" s="1751"/>
      <c r="S278" s="1938"/>
    </row>
    <row r="279" spans="5:19" x14ac:dyDescent="0.2">
      <c r="E279" s="1751"/>
      <c r="F279" s="1751"/>
      <c r="G279" s="1751"/>
      <c r="H279" s="1751"/>
      <c r="I279" s="1751"/>
      <c r="J279" s="1751"/>
      <c r="K279" s="1751"/>
      <c r="L279" s="1751"/>
      <c r="M279" s="1751"/>
      <c r="N279" s="1751"/>
      <c r="O279" s="1751"/>
      <c r="S279" s="1938"/>
    </row>
    <row r="280" spans="5:19" x14ac:dyDescent="0.2">
      <c r="E280" s="1751"/>
      <c r="F280" s="1751"/>
      <c r="G280" s="1751"/>
      <c r="H280" s="1751"/>
      <c r="I280" s="1751"/>
      <c r="J280" s="1751"/>
      <c r="K280" s="1751"/>
      <c r="L280" s="1751"/>
      <c r="M280" s="1751"/>
      <c r="N280" s="1751"/>
      <c r="O280" s="1751"/>
      <c r="S280" s="1938"/>
    </row>
    <row r="281" spans="5:19" x14ac:dyDescent="0.2">
      <c r="E281" s="1751"/>
      <c r="F281" s="1751"/>
      <c r="G281" s="1751"/>
      <c r="H281" s="1751"/>
      <c r="I281" s="1751"/>
      <c r="J281" s="1751"/>
      <c r="K281" s="1751"/>
      <c r="L281" s="1751"/>
      <c r="M281" s="1751"/>
      <c r="N281" s="1751"/>
      <c r="O281" s="1751"/>
      <c r="S281" s="1938"/>
    </row>
    <row r="282" spans="5:19" x14ac:dyDescent="0.2">
      <c r="E282" s="1751"/>
      <c r="F282" s="1751"/>
      <c r="G282" s="1751"/>
      <c r="H282" s="1751"/>
      <c r="I282" s="1751"/>
      <c r="J282" s="1751"/>
      <c r="K282" s="1751"/>
      <c r="L282" s="1751"/>
      <c r="M282" s="1751"/>
      <c r="N282" s="1751"/>
      <c r="O282" s="1751"/>
      <c r="S282" s="1938"/>
    </row>
    <row r="283" spans="5:19" x14ac:dyDescent="0.2">
      <c r="E283" s="1751"/>
      <c r="F283" s="1751"/>
      <c r="G283" s="1751"/>
      <c r="H283" s="1751"/>
      <c r="I283" s="1751"/>
      <c r="J283" s="1751"/>
      <c r="K283" s="1751"/>
      <c r="L283" s="1751"/>
      <c r="M283" s="1751"/>
      <c r="N283" s="1751"/>
      <c r="O283" s="1751"/>
      <c r="S283" s="1938"/>
    </row>
    <row r="284" spans="5:19" x14ac:dyDescent="0.2">
      <c r="E284" s="1751"/>
      <c r="F284" s="1751"/>
      <c r="G284" s="1751"/>
      <c r="H284" s="1751"/>
      <c r="I284" s="1751"/>
      <c r="J284" s="1751"/>
      <c r="K284" s="1751"/>
      <c r="L284" s="1751"/>
      <c r="M284" s="1751"/>
      <c r="N284" s="1751"/>
      <c r="O284" s="1751"/>
      <c r="S284" s="1938"/>
    </row>
    <row r="285" spans="5:19" x14ac:dyDescent="0.2">
      <c r="E285" s="1751"/>
      <c r="F285" s="1751"/>
      <c r="G285" s="1751"/>
      <c r="H285" s="1751"/>
      <c r="I285" s="1751"/>
      <c r="J285" s="1751"/>
      <c r="K285" s="1751"/>
      <c r="L285" s="1751"/>
      <c r="M285" s="1751"/>
      <c r="N285" s="1751"/>
      <c r="O285" s="1751"/>
      <c r="S285" s="1938"/>
    </row>
    <row r="286" spans="5:19" x14ac:dyDescent="0.2">
      <c r="E286" s="1751"/>
      <c r="F286" s="1751"/>
      <c r="G286" s="1751"/>
      <c r="H286" s="1751"/>
      <c r="I286" s="1751"/>
      <c r="J286" s="1751"/>
      <c r="K286" s="1751"/>
      <c r="L286" s="1751"/>
      <c r="M286" s="1751"/>
      <c r="N286" s="1751"/>
      <c r="O286" s="1751"/>
      <c r="S286" s="1938"/>
    </row>
    <row r="287" spans="5:19" x14ac:dyDescent="0.2">
      <c r="E287" s="1751"/>
      <c r="F287" s="1751"/>
      <c r="G287" s="1751"/>
      <c r="H287" s="1751"/>
      <c r="I287" s="1751"/>
      <c r="J287" s="1751"/>
      <c r="K287" s="1751"/>
      <c r="L287" s="1751"/>
      <c r="M287" s="1751"/>
      <c r="N287" s="1751"/>
      <c r="O287" s="1751"/>
      <c r="S287" s="1938"/>
    </row>
    <row r="288" spans="5:19" x14ac:dyDescent="0.2">
      <c r="E288" s="1751"/>
      <c r="F288" s="1751"/>
      <c r="G288" s="1751"/>
      <c r="H288" s="1751"/>
      <c r="I288" s="1751"/>
      <c r="J288" s="1751"/>
      <c r="K288" s="1751"/>
      <c r="L288" s="1751"/>
      <c r="M288" s="1751"/>
      <c r="N288" s="1751"/>
      <c r="O288" s="1751"/>
      <c r="S288" s="1938"/>
    </row>
    <row r="289" spans="5:19" x14ac:dyDescent="0.2">
      <c r="E289" s="1751"/>
      <c r="F289" s="1751"/>
      <c r="G289" s="1751"/>
      <c r="H289" s="1751"/>
      <c r="I289" s="1751"/>
      <c r="J289" s="1751"/>
      <c r="K289" s="1751"/>
      <c r="L289" s="1751"/>
      <c r="M289" s="1751"/>
      <c r="N289" s="1751"/>
      <c r="O289" s="1751"/>
      <c r="S289" s="1938"/>
    </row>
    <row r="290" spans="5:19" x14ac:dyDescent="0.2">
      <c r="E290" s="1751"/>
      <c r="F290" s="1751"/>
      <c r="G290" s="1751"/>
      <c r="H290" s="1751"/>
      <c r="I290" s="1751"/>
      <c r="J290" s="1751"/>
      <c r="K290" s="1751"/>
      <c r="L290" s="1751"/>
      <c r="M290" s="1751"/>
      <c r="N290" s="1751"/>
      <c r="O290" s="1751"/>
      <c r="S290" s="1938"/>
    </row>
    <row r="291" spans="5:19" x14ac:dyDescent="0.2">
      <c r="E291" s="1751"/>
      <c r="F291" s="1751"/>
      <c r="G291" s="1751"/>
      <c r="H291" s="1751"/>
      <c r="I291" s="1751"/>
      <c r="J291" s="1751"/>
      <c r="K291" s="1751"/>
      <c r="L291" s="1751"/>
      <c r="M291" s="1751"/>
      <c r="N291" s="1751"/>
      <c r="O291" s="1751"/>
      <c r="S291" s="1938"/>
    </row>
    <row r="292" spans="5:19" x14ac:dyDescent="0.2">
      <c r="E292" s="1751"/>
      <c r="F292" s="1751"/>
      <c r="G292" s="1751"/>
      <c r="H292" s="1751"/>
      <c r="I292" s="1751"/>
      <c r="J292" s="1751"/>
      <c r="K292" s="1751"/>
      <c r="L292" s="1751"/>
      <c r="M292" s="1751"/>
      <c r="N292" s="1751"/>
      <c r="O292" s="1751"/>
      <c r="S292" s="1938"/>
    </row>
    <row r="293" spans="5:19" x14ac:dyDescent="0.2">
      <c r="E293" s="1751"/>
      <c r="F293" s="1751"/>
      <c r="G293" s="1751"/>
      <c r="H293" s="1751"/>
      <c r="I293" s="1751"/>
      <c r="J293" s="1751"/>
      <c r="K293" s="1751"/>
      <c r="L293" s="1751"/>
      <c r="M293" s="1751"/>
      <c r="N293" s="1751"/>
      <c r="O293" s="1751"/>
      <c r="S293" s="1938"/>
    </row>
    <row r="294" spans="5:19" x14ac:dyDescent="0.2">
      <c r="E294" s="1751"/>
      <c r="F294" s="1751"/>
      <c r="G294" s="1751"/>
      <c r="H294" s="1751"/>
      <c r="I294" s="1751"/>
      <c r="J294" s="1751"/>
      <c r="K294" s="1751"/>
      <c r="L294" s="1751"/>
      <c r="M294" s="1751"/>
      <c r="N294" s="1751"/>
      <c r="O294" s="1751"/>
      <c r="S294" s="1938"/>
    </row>
    <row r="295" spans="5:19" x14ac:dyDescent="0.2">
      <c r="E295" s="1751"/>
      <c r="F295" s="1751"/>
      <c r="G295" s="1751"/>
      <c r="H295" s="1751"/>
      <c r="I295" s="1751"/>
      <c r="J295" s="1751"/>
      <c r="K295" s="1751"/>
      <c r="L295" s="1751"/>
      <c r="M295" s="1751"/>
      <c r="N295" s="1751"/>
      <c r="O295" s="1751"/>
      <c r="S295" s="1938"/>
    </row>
    <row r="296" spans="5:19" x14ac:dyDescent="0.2">
      <c r="E296" s="1751"/>
      <c r="F296" s="1751"/>
      <c r="G296" s="1751"/>
      <c r="H296" s="1751"/>
      <c r="I296" s="1751"/>
      <c r="J296" s="1751"/>
      <c r="K296" s="1751"/>
      <c r="L296" s="1751"/>
      <c r="M296" s="1751"/>
      <c r="N296" s="1751"/>
      <c r="O296" s="1751"/>
      <c r="S296" s="1938"/>
    </row>
    <row r="297" spans="5:19" x14ac:dyDescent="0.2">
      <c r="E297" s="1751"/>
      <c r="F297" s="1751"/>
      <c r="G297" s="1751"/>
      <c r="H297" s="1751"/>
      <c r="I297" s="1751"/>
      <c r="J297" s="1751"/>
      <c r="K297" s="1751"/>
      <c r="L297" s="1751"/>
      <c r="M297" s="1751"/>
      <c r="N297" s="1751"/>
      <c r="O297" s="1751"/>
      <c r="S297" s="1938"/>
    </row>
    <row r="298" spans="5:19" x14ac:dyDescent="0.2">
      <c r="E298" s="1751"/>
      <c r="F298" s="1751"/>
      <c r="G298" s="1751"/>
      <c r="H298" s="1751"/>
      <c r="I298" s="1751"/>
      <c r="J298" s="1751"/>
      <c r="K298" s="1751"/>
      <c r="L298" s="1751"/>
      <c r="M298" s="1751"/>
      <c r="N298" s="1751"/>
      <c r="O298" s="1751"/>
      <c r="S298" s="1938"/>
    </row>
    <row r="299" spans="5:19" x14ac:dyDescent="0.2">
      <c r="E299" s="1751"/>
      <c r="F299" s="1751"/>
      <c r="G299" s="1751"/>
      <c r="H299" s="1751"/>
      <c r="I299" s="1751"/>
      <c r="J299" s="1751"/>
      <c r="K299" s="1751"/>
      <c r="L299" s="1751"/>
      <c r="M299" s="1751"/>
      <c r="N299" s="1751"/>
      <c r="O299" s="1751"/>
      <c r="S299" s="1938"/>
    </row>
    <row r="300" spans="5:19" x14ac:dyDescent="0.2">
      <c r="E300" s="1751"/>
      <c r="F300" s="1751"/>
      <c r="G300" s="1751"/>
      <c r="H300" s="1751"/>
      <c r="I300" s="1751"/>
      <c r="J300" s="1751"/>
      <c r="K300" s="1751"/>
      <c r="L300" s="1751"/>
      <c r="M300" s="1751"/>
      <c r="N300" s="1751"/>
      <c r="O300" s="1751"/>
      <c r="S300" s="1938"/>
    </row>
    <row r="301" spans="5:19" x14ac:dyDescent="0.2">
      <c r="E301" s="1751"/>
      <c r="F301" s="1751"/>
      <c r="G301" s="1751"/>
      <c r="H301" s="1751"/>
      <c r="I301" s="1751"/>
      <c r="J301" s="1751"/>
      <c r="K301" s="1751"/>
      <c r="L301" s="1751"/>
      <c r="M301" s="1751"/>
      <c r="N301" s="1751"/>
      <c r="O301" s="1751"/>
      <c r="S301" s="1938"/>
    </row>
    <row r="302" spans="5:19" x14ac:dyDescent="0.2">
      <c r="E302" s="1751"/>
      <c r="F302" s="1751"/>
      <c r="G302" s="1751"/>
      <c r="H302" s="1751"/>
      <c r="I302" s="1751"/>
      <c r="J302" s="1751"/>
      <c r="K302" s="1751"/>
      <c r="L302" s="1751"/>
      <c r="M302" s="1751"/>
      <c r="N302" s="1751"/>
      <c r="O302" s="1751"/>
      <c r="S302" s="1938"/>
    </row>
    <row r="303" spans="5:19" x14ac:dyDescent="0.2">
      <c r="E303" s="1751"/>
      <c r="F303" s="1751"/>
      <c r="G303" s="1751"/>
      <c r="H303" s="1751"/>
      <c r="I303" s="1751"/>
      <c r="J303" s="1751"/>
      <c r="K303" s="1751"/>
      <c r="L303" s="1751"/>
      <c r="M303" s="1751"/>
      <c r="N303" s="1751"/>
      <c r="O303" s="1751"/>
      <c r="S303" s="1938"/>
    </row>
    <row r="304" spans="5:19" x14ac:dyDescent="0.2">
      <c r="E304" s="1751"/>
      <c r="F304" s="1751"/>
      <c r="G304" s="1751"/>
      <c r="H304" s="1751"/>
      <c r="I304" s="1751"/>
      <c r="J304" s="1751"/>
      <c r="K304" s="1751"/>
      <c r="L304" s="1751"/>
      <c r="M304" s="1751"/>
      <c r="N304" s="1751"/>
      <c r="O304" s="1751"/>
      <c r="S304" s="1938"/>
    </row>
    <row r="305" spans="5:19" x14ac:dyDescent="0.2">
      <c r="E305" s="1751"/>
      <c r="F305" s="1751"/>
      <c r="G305" s="1751"/>
      <c r="H305" s="1751"/>
      <c r="I305" s="1751"/>
      <c r="J305" s="1751"/>
      <c r="K305" s="1751"/>
      <c r="L305" s="1751"/>
      <c r="M305" s="1751"/>
      <c r="N305" s="1751"/>
      <c r="O305" s="1751"/>
      <c r="S305" s="1938"/>
    </row>
    <row r="306" spans="5:19" x14ac:dyDescent="0.2">
      <c r="E306" s="1751"/>
      <c r="F306" s="1751"/>
      <c r="G306" s="1751"/>
      <c r="H306" s="1751"/>
      <c r="I306" s="1751"/>
      <c r="J306" s="1751"/>
      <c r="K306" s="1751"/>
      <c r="L306" s="1751"/>
      <c r="M306" s="1751"/>
      <c r="N306" s="1751"/>
      <c r="O306" s="1751"/>
      <c r="S306" s="1938"/>
    </row>
    <row r="307" spans="5:19" x14ac:dyDescent="0.2">
      <c r="E307" s="1751"/>
      <c r="F307" s="1751"/>
      <c r="G307" s="1751"/>
      <c r="H307" s="1751"/>
      <c r="I307" s="1751"/>
      <c r="J307" s="1751"/>
      <c r="K307" s="1751"/>
      <c r="L307" s="1751"/>
      <c r="M307" s="1751"/>
      <c r="N307" s="1751"/>
      <c r="O307" s="1751"/>
      <c r="S307" s="1938"/>
    </row>
    <row r="308" spans="5:19" x14ac:dyDescent="0.2">
      <c r="E308" s="1751"/>
      <c r="F308" s="1751"/>
      <c r="G308" s="1751"/>
      <c r="H308" s="1751"/>
      <c r="I308" s="1751"/>
      <c r="J308" s="1751"/>
      <c r="K308" s="1751"/>
      <c r="L308" s="1751"/>
      <c r="M308" s="1751"/>
      <c r="N308" s="1751"/>
      <c r="O308" s="1751"/>
      <c r="S308" s="1938"/>
    </row>
    <row r="309" spans="5:19" x14ac:dyDescent="0.2">
      <c r="E309" s="1751"/>
      <c r="F309" s="1751"/>
      <c r="G309" s="1751"/>
      <c r="H309" s="1751"/>
      <c r="I309" s="1751"/>
      <c r="J309" s="1751"/>
      <c r="K309" s="1751"/>
      <c r="L309" s="1751"/>
      <c r="M309" s="1751"/>
      <c r="N309" s="1751"/>
      <c r="O309" s="1751"/>
      <c r="S309" s="1938"/>
    </row>
    <row r="310" spans="5:19" x14ac:dyDescent="0.2">
      <c r="E310" s="1751"/>
      <c r="F310" s="1751"/>
      <c r="G310" s="1751"/>
      <c r="H310" s="1751"/>
      <c r="I310" s="1751"/>
      <c r="J310" s="1751"/>
      <c r="K310" s="1751"/>
      <c r="L310" s="1751"/>
      <c r="M310" s="1751"/>
      <c r="N310" s="1751"/>
      <c r="O310" s="1751"/>
      <c r="S310" s="1938"/>
    </row>
    <row r="311" spans="5:19" x14ac:dyDescent="0.2">
      <c r="E311" s="1751"/>
      <c r="F311" s="1751"/>
      <c r="G311" s="1751"/>
      <c r="H311" s="1751"/>
      <c r="I311" s="1751"/>
      <c r="J311" s="1751"/>
      <c r="K311" s="1751"/>
      <c r="L311" s="1751"/>
      <c r="M311" s="1751"/>
      <c r="N311" s="1751"/>
      <c r="O311" s="1751"/>
      <c r="S311" s="1938"/>
    </row>
    <row r="312" spans="5:19" x14ac:dyDescent="0.2">
      <c r="E312" s="1751"/>
      <c r="F312" s="1751"/>
      <c r="G312" s="1751"/>
      <c r="H312" s="1751"/>
      <c r="I312" s="1751"/>
      <c r="J312" s="1751"/>
      <c r="K312" s="1751"/>
      <c r="L312" s="1751"/>
      <c r="M312" s="1751"/>
      <c r="N312" s="1751"/>
      <c r="O312" s="1751"/>
      <c r="S312" s="1938"/>
    </row>
    <row r="313" spans="5:19" x14ac:dyDescent="0.2">
      <c r="E313" s="1751"/>
      <c r="F313" s="1751"/>
      <c r="G313" s="1751"/>
      <c r="H313" s="1751"/>
      <c r="I313" s="1751"/>
      <c r="J313" s="1751"/>
      <c r="K313" s="1751"/>
      <c r="L313" s="1751"/>
      <c r="M313" s="1751"/>
      <c r="N313" s="1751"/>
      <c r="O313" s="1751"/>
      <c r="S313" s="1938"/>
    </row>
    <row r="314" spans="5:19" x14ac:dyDescent="0.2">
      <c r="E314" s="1751"/>
      <c r="F314" s="1751"/>
      <c r="G314" s="1751"/>
      <c r="H314" s="1751"/>
      <c r="I314" s="1751"/>
      <c r="J314" s="1751"/>
      <c r="K314" s="1751"/>
      <c r="L314" s="1751"/>
      <c r="M314" s="1751"/>
      <c r="N314" s="1751"/>
      <c r="O314" s="1751"/>
      <c r="S314" s="1938"/>
    </row>
    <row r="315" spans="5:19" x14ac:dyDescent="0.2">
      <c r="E315" s="1751"/>
      <c r="F315" s="1751"/>
      <c r="G315" s="1751"/>
      <c r="H315" s="1751"/>
      <c r="I315" s="1751"/>
      <c r="J315" s="1751"/>
      <c r="K315" s="1751"/>
      <c r="L315" s="1751"/>
      <c r="M315" s="1751"/>
      <c r="N315" s="1751"/>
      <c r="O315" s="1751"/>
      <c r="S315" s="1938"/>
    </row>
    <row r="316" spans="5:19" x14ac:dyDescent="0.2">
      <c r="E316" s="1751"/>
      <c r="F316" s="1751"/>
      <c r="G316" s="1751"/>
      <c r="H316" s="1751"/>
      <c r="I316" s="1751"/>
      <c r="J316" s="1751"/>
      <c r="K316" s="1751"/>
      <c r="L316" s="1751"/>
      <c r="M316" s="1751"/>
      <c r="N316" s="1751"/>
      <c r="O316" s="1751"/>
      <c r="S316" s="1938"/>
    </row>
    <row r="317" spans="5:19" x14ac:dyDescent="0.2">
      <c r="E317" s="1751"/>
      <c r="F317" s="1751"/>
      <c r="G317" s="1751"/>
      <c r="H317" s="1751"/>
      <c r="I317" s="1751"/>
      <c r="J317" s="1751"/>
      <c r="K317" s="1751"/>
      <c r="L317" s="1751"/>
      <c r="M317" s="1751"/>
      <c r="N317" s="1751"/>
      <c r="O317" s="1751"/>
      <c r="S317" s="1938"/>
    </row>
    <row r="318" spans="5:19" x14ac:dyDescent="0.2">
      <c r="E318" s="1751"/>
      <c r="F318" s="1751"/>
      <c r="G318" s="1751"/>
      <c r="H318" s="1751"/>
      <c r="I318" s="1751"/>
      <c r="J318" s="1751"/>
      <c r="K318" s="1751"/>
      <c r="L318" s="1751"/>
      <c r="M318" s="1751"/>
      <c r="N318" s="1751"/>
      <c r="O318" s="1751"/>
      <c r="S318" s="1938"/>
    </row>
    <row r="319" spans="5:19" x14ac:dyDescent="0.2">
      <c r="E319" s="1751"/>
      <c r="F319" s="1751"/>
      <c r="G319" s="1751"/>
      <c r="H319" s="1751"/>
      <c r="I319" s="1751"/>
      <c r="J319" s="1751"/>
      <c r="K319" s="1751"/>
      <c r="L319" s="1751"/>
      <c r="M319" s="1751"/>
      <c r="N319" s="1751"/>
      <c r="O319" s="1751"/>
      <c r="S319" s="1938"/>
    </row>
    <row r="320" spans="5:19" x14ac:dyDescent="0.2">
      <c r="E320" s="1751"/>
      <c r="F320" s="1751"/>
      <c r="G320" s="1751"/>
      <c r="H320" s="1751"/>
      <c r="I320" s="1751"/>
      <c r="J320" s="1751"/>
      <c r="K320" s="1751"/>
      <c r="L320" s="1751"/>
      <c r="M320" s="1751"/>
      <c r="N320" s="1751"/>
      <c r="O320" s="1751"/>
      <c r="S320" s="1938"/>
    </row>
    <row r="321" spans="5:19" x14ac:dyDescent="0.2">
      <c r="E321" s="1751"/>
      <c r="F321" s="1751"/>
      <c r="G321" s="1751"/>
      <c r="H321" s="1751"/>
      <c r="I321" s="1751"/>
      <c r="J321" s="1751"/>
      <c r="K321" s="1751"/>
      <c r="L321" s="1751"/>
      <c r="M321" s="1751"/>
      <c r="N321" s="1751"/>
      <c r="O321" s="1751"/>
      <c r="S321" s="1938"/>
    </row>
    <row r="322" spans="5:19" x14ac:dyDescent="0.2">
      <c r="E322" s="1751"/>
      <c r="F322" s="1751"/>
      <c r="G322" s="1751"/>
      <c r="H322" s="1751"/>
      <c r="I322" s="1751"/>
      <c r="J322" s="1751"/>
      <c r="K322" s="1751"/>
      <c r="L322" s="1751"/>
      <c r="M322" s="1751"/>
      <c r="N322" s="1751"/>
      <c r="O322" s="1751"/>
      <c r="S322" s="1938"/>
    </row>
    <row r="323" spans="5:19" x14ac:dyDescent="0.2">
      <c r="E323" s="1751"/>
      <c r="F323" s="1751"/>
      <c r="G323" s="1751"/>
      <c r="H323" s="1751"/>
      <c r="I323" s="1751"/>
      <c r="J323" s="1751"/>
      <c r="K323" s="1751"/>
      <c r="L323" s="1751"/>
      <c r="M323" s="1751"/>
      <c r="N323" s="1751"/>
      <c r="O323" s="1751"/>
      <c r="S323" s="1938"/>
    </row>
    <row r="324" spans="5:19" x14ac:dyDescent="0.2">
      <c r="E324" s="1751"/>
      <c r="F324" s="1751"/>
      <c r="G324" s="1751"/>
      <c r="H324" s="1751"/>
      <c r="I324" s="1751"/>
      <c r="J324" s="1751"/>
      <c r="K324" s="1751"/>
      <c r="L324" s="1751"/>
      <c r="M324" s="1751"/>
      <c r="N324" s="1751"/>
      <c r="O324" s="1751"/>
      <c r="S324" s="1938"/>
    </row>
    <row r="325" spans="5:19" x14ac:dyDescent="0.2">
      <c r="E325" s="1751"/>
      <c r="F325" s="1751"/>
      <c r="G325" s="1751"/>
      <c r="H325" s="1751"/>
      <c r="I325" s="1751"/>
      <c r="J325" s="1751"/>
      <c r="K325" s="1751"/>
      <c r="L325" s="1751"/>
      <c r="M325" s="1751"/>
      <c r="N325" s="1751"/>
      <c r="O325" s="1751"/>
      <c r="S325" s="1938"/>
    </row>
    <row r="326" spans="5:19" x14ac:dyDescent="0.2">
      <c r="E326" s="1751"/>
      <c r="F326" s="1751"/>
      <c r="G326" s="1751"/>
      <c r="H326" s="1751"/>
      <c r="I326" s="1751"/>
      <c r="J326" s="1751"/>
      <c r="K326" s="1751"/>
      <c r="L326" s="1751"/>
      <c r="M326" s="1751"/>
      <c r="N326" s="1751"/>
      <c r="O326" s="1751"/>
      <c r="S326" s="1938"/>
    </row>
    <row r="327" spans="5:19" x14ac:dyDescent="0.2">
      <c r="E327" s="1751"/>
      <c r="F327" s="1751"/>
      <c r="G327" s="1751"/>
      <c r="H327" s="1751"/>
      <c r="I327" s="1751"/>
      <c r="J327" s="1751"/>
      <c r="K327" s="1751"/>
      <c r="L327" s="1751"/>
      <c r="M327" s="1751"/>
      <c r="N327" s="1751"/>
      <c r="O327" s="1751"/>
      <c r="S327" s="1938"/>
    </row>
    <row r="328" spans="5:19" x14ac:dyDescent="0.2">
      <c r="E328" s="1751"/>
      <c r="F328" s="1751"/>
      <c r="G328" s="1751"/>
      <c r="H328" s="1751"/>
      <c r="I328" s="1751"/>
      <c r="J328" s="1751"/>
      <c r="K328" s="1751"/>
      <c r="L328" s="1751"/>
      <c r="M328" s="1751"/>
      <c r="N328" s="1751"/>
      <c r="O328" s="1751"/>
      <c r="S328" s="1938"/>
    </row>
    <row r="329" spans="5:19" x14ac:dyDescent="0.2">
      <c r="E329" s="1751"/>
      <c r="F329" s="1751"/>
      <c r="G329" s="1751"/>
      <c r="H329" s="1751"/>
      <c r="I329" s="1751"/>
      <c r="J329" s="1751"/>
      <c r="K329" s="1751"/>
      <c r="L329" s="1751"/>
      <c r="M329" s="1751"/>
      <c r="N329" s="1751"/>
      <c r="O329" s="1751"/>
      <c r="S329" s="1938"/>
    </row>
    <row r="330" spans="5:19" x14ac:dyDescent="0.2">
      <c r="E330" s="1751"/>
      <c r="F330" s="1751"/>
      <c r="G330" s="1751"/>
      <c r="H330" s="1751"/>
      <c r="I330" s="1751"/>
      <c r="J330" s="1751"/>
      <c r="K330" s="1751"/>
      <c r="L330" s="1751"/>
      <c r="M330" s="1751"/>
      <c r="N330" s="1751"/>
      <c r="O330" s="1751"/>
      <c r="S330" s="1938"/>
    </row>
    <row r="331" spans="5:19" x14ac:dyDescent="0.2">
      <c r="E331" s="1751"/>
      <c r="F331" s="1751"/>
      <c r="G331" s="1751"/>
      <c r="H331" s="1751"/>
      <c r="I331" s="1751"/>
      <c r="J331" s="1751"/>
      <c r="K331" s="1751"/>
      <c r="L331" s="1751"/>
      <c r="M331" s="1751"/>
      <c r="N331" s="1751"/>
      <c r="O331" s="1751"/>
      <c r="S331" s="1938"/>
    </row>
    <row r="332" spans="5:19" x14ac:dyDescent="0.2">
      <c r="E332" s="1751"/>
      <c r="F332" s="1751"/>
      <c r="G332" s="1751"/>
      <c r="H332" s="1751"/>
      <c r="I332" s="1751"/>
      <c r="J332" s="1751"/>
      <c r="K332" s="1751"/>
      <c r="L332" s="1751"/>
      <c r="M332" s="1751"/>
      <c r="N332" s="1751"/>
      <c r="O332" s="1751"/>
      <c r="S332" s="1938"/>
    </row>
    <row r="333" spans="5:19" x14ac:dyDescent="0.2">
      <c r="E333" s="1751"/>
      <c r="F333" s="1751"/>
      <c r="G333" s="1751"/>
      <c r="H333" s="1751"/>
      <c r="I333" s="1751"/>
      <c r="J333" s="1751"/>
      <c r="K333" s="1751"/>
      <c r="L333" s="1751"/>
      <c r="M333" s="1751"/>
      <c r="N333" s="1751"/>
      <c r="O333" s="1751"/>
      <c r="S333" s="1938"/>
    </row>
    <row r="334" spans="5:19" x14ac:dyDescent="0.2">
      <c r="E334" s="1751"/>
      <c r="F334" s="1751"/>
      <c r="G334" s="1751"/>
      <c r="H334" s="1751"/>
      <c r="I334" s="1751"/>
      <c r="J334" s="1751"/>
      <c r="K334" s="1751"/>
      <c r="L334" s="1751"/>
      <c r="M334" s="1751"/>
      <c r="N334" s="1751"/>
      <c r="O334" s="1751"/>
      <c r="S334" s="1938"/>
    </row>
    <row r="335" spans="5:19" x14ac:dyDescent="0.2">
      <c r="E335" s="1751"/>
      <c r="F335" s="1751"/>
      <c r="G335" s="1751"/>
      <c r="H335" s="1751"/>
      <c r="I335" s="1751"/>
      <c r="J335" s="1751"/>
      <c r="K335" s="1751"/>
      <c r="L335" s="1751"/>
      <c r="M335" s="1751"/>
      <c r="N335" s="1751"/>
      <c r="O335" s="1751"/>
      <c r="S335" s="1938"/>
    </row>
    <row r="336" spans="5:19" x14ac:dyDescent="0.2">
      <c r="E336" s="1751"/>
      <c r="F336" s="1751"/>
      <c r="G336" s="1751"/>
      <c r="H336" s="1751"/>
      <c r="I336" s="1751"/>
      <c r="J336" s="1751"/>
      <c r="K336" s="1751"/>
      <c r="L336" s="1751"/>
      <c r="M336" s="1751"/>
      <c r="N336" s="1751"/>
      <c r="O336" s="1751"/>
      <c r="S336" s="1938"/>
    </row>
    <row r="337" spans="5:19" x14ac:dyDescent="0.2">
      <c r="E337" s="1751"/>
      <c r="F337" s="1751"/>
      <c r="G337" s="1751"/>
      <c r="H337" s="1751"/>
      <c r="I337" s="1751"/>
      <c r="J337" s="1751"/>
      <c r="K337" s="1751"/>
      <c r="L337" s="1751"/>
      <c r="M337" s="1751"/>
      <c r="N337" s="1751"/>
      <c r="O337" s="1751"/>
      <c r="S337" s="1938"/>
    </row>
    <row r="338" spans="5:19" x14ac:dyDescent="0.2">
      <c r="E338" s="1751"/>
      <c r="F338" s="1751"/>
      <c r="G338" s="1751"/>
      <c r="H338" s="1751"/>
      <c r="I338" s="1751"/>
      <c r="J338" s="1751"/>
      <c r="K338" s="1751"/>
      <c r="L338" s="1751"/>
      <c r="M338" s="1751"/>
      <c r="N338" s="1751"/>
      <c r="O338" s="1751"/>
      <c r="S338" s="1938"/>
    </row>
    <row r="339" spans="5:19" x14ac:dyDescent="0.2">
      <c r="E339" s="1751"/>
      <c r="F339" s="1751"/>
      <c r="G339" s="1751"/>
      <c r="H339" s="1751"/>
      <c r="I339" s="1751"/>
      <c r="J339" s="1751"/>
      <c r="K339" s="1751"/>
      <c r="L339" s="1751"/>
      <c r="M339" s="1751"/>
      <c r="N339" s="1751"/>
      <c r="O339" s="1751"/>
      <c r="S339" s="1938"/>
    </row>
    <row r="340" spans="5:19" x14ac:dyDescent="0.2">
      <c r="E340" s="1751"/>
      <c r="F340" s="1751"/>
      <c r="G340" s="1751"/>
      <c r="H340" s="1751"/>
      <c r="I340" s="1751"/>
      <c r="J340" s="1751"/>
      <c r="K340" s="1751"/>
      <c r="L340" s="1751"/>
      <c r="M340" s="1751"/>
      <c r="N340" s="1751"/>
      <c r="O340" s="1751"/>
      <c r="S340" s="1938"/>
    </row>
    <row r="341" spans="5:19" x14ac:dyDescent="0.2">
      <c r="E341" s="1751"/>
      <c r="F341" s="1751"/>
      <c r="G341" s="1751"/>
      <c r="H341" s="1751"/>
      <c r="I341" s="1751"/>
      <c r="J341" s="1751"/>
      <c r="K341" s="1751"/>
      <c r="L341" s="1751"/>
      <c r="M341" s="1751"/>
      <c r="N341" s="1751"/>
      <c r="O341" s="1751"/>
      <c r="S341" s="1938"/>
    </row>
    <row r="342" spans="5:19" x14ac:dyDescent="0.2">
      <c r="E342" s="1751"/>
      <c r="F342" s="1751"/>
      <c r="G342" s="1751"/>
      <c r="H342" s="1751"/>
      <c r="I342" s="1751"/>
      <c r="J342" s="1751"/>
      <c r="K342" s="1751"/>
      <c r="L342" s="1751"/>
      <c r="M342" s="1751"/>
      <c r="N342" s="1751"/>
      <c r="O342" s="1751"/>
      <c r="S342" s="1938"/>
    </row>
    <row r="343" spans="5:19" x14ac:dyDescent="0.2">
      <c r="E343" s="1751"/>
      <c r="F343" s="1751"/>
      <c r="G343" s="1751"/>
      <c r="H343" s="1751"/>
      <c r="I343" s="1751"/>
      <c r="J343" s="1751"/>
      <c r="K343" s="1751"/>
      <c r="L343" s="1751"/>
      <c r="M343" s="1751"/>
      <c r="N343" s="1751"/>
      <c r="O343" s="1751"/>
      <c r="S343" s="1938"/>
    </row>
    <row r="344" spans="5:19" x14ac:dyDescent="0.2">
      <c r="E344" s="1751"/>
      <c r="F344" s="1751"/>
      <c r="G344" s="1751"/>
      <c r="H344" s="1751"/>
      <c r="I344" s="1751"/>
      <c r="J344" s="1751"/>
      <c r="K344" s="1751"/>
      <c r="L344" s="1751"/>
      <c r="M344" s="1751"/>
      <c r="N344" s="1751"/>
      <c r="O344" s="1751"/>
      <c r="S344" s="1938"/>
    </row>
    <row r="345" spans="5:19" x14ac:dyDescent="0.2">
      <c r="E345" s="1751"/>
      <c r="F345" s="1751"/>
      <c r="G345" s="1751"/>
      <c r="H345" s="1751"/>
      <c r="I345" s="1751"/>
      <c r="J345" s="1751"/>
      <c r="K345" s="1751"/>
      <c r="L345" s="1751"/>
      <c r="M345" s="1751"/>
      <c r="N345" s="1751"/>
      <c r="O345" s="1751"/>
      <c r="S345" s="1938"/>
    </row>
    <row r="346" spans="5:19" x14ac:dyDescent="0.2">
      <c r="E346" s="1751"/>
      <c r="F346" s="1751"/>
      <c r="G346" s="1751"/>
      <c r="H346" s="1751"/>
      <c r="I346" s="1751"/>
      <c r="J346" s="1751"/>
      <c r="K346" s="1751"/>
      <c r="L346" s="1751"/>
      <c r="M346" s="1751"/>
      <c r="N346" s="1751"/>
      <c r="O346" s="1751"/>
      <c r="S346" s="1938"/>
    </row>
    <row r="347" spans="5:19" x14ac:dyDescent="0.2">
      <c r="E347" s="1751"/>
      <c r="F347" s="1751"/>
      <c r="G347" s="1751"/>
      <c r="H347" s="1751"/>
      <c r="I347" s="1751"/>
      <c r="J347" s="1751"/>
      <c r="K347" s="1751"/>
      <c r="L347" s="1751"/>
      <c r="M347" s="1751"/>
      <c r="N347" s="1751"/>
      <c r="O347" s="1751"/>
      <c r="S347" s="1938"/>
    </row>
    <row r="348" spans="5:19" x14ac:dyDescent="0.2">
      <c r="E348" s="1751"/>
      <c r="F348" s="1751"/>
      <c r="G348" s="1751"/>
      <c r="H348" s="1751"/>
      <c r="I348" s="1751"/>
      <c r="J348" s="1751"/>
      <c r="K348" s="1751"/>
      <c r="L348" s="1751"/>
      <c r="M348" s="1751"/>
      <c r="N348" s="1751"/>
      <c r="O348" s="1751"/>
      <c r="S348" s="1938"/>
    </row>
    <row r="349" spans="5:19" x14ac:dyDescent="0.2">
      <c r="E349" s="1751"/>
      <c r="F349" s="1751"/>
      <c r="G349" s="1751"/>
      <c r="H349" s="1751"/>
      <c r="I349" s="1751"/>
      <c r="J349" s="1751"/>
      <c r="K349" s="1751"/>
      <c r="L349" s="1751"/>
      <c r="M349" s="1751"/>
      <c r="N349" s="1751"/>
      <c r="O349" s="1751"/>
      <c r="S349" s="1938"/>
    </row>
    <row r="350" spans="5:19" x14ac:dyDescent="0.2">
      <c r="E350" s="1751"/>
      <c r="F350" s="1751"/>
      <c r="G350" s="1751"/>
      <c r="H350" s="1751"/>
      <c r="I350" s="1751"/>
      <c r="J350" s="1751"/>
      <c r="K350" s="1751"/>
      <c r="L350" s="1751"/>
      <c r="M350" s="1751"/>
      <c r="N350" s="1751"/>
      <c r="O350" s="1751"/>
      <c r="S350" s="1938"/>
    </row>
    <row r="351" spans="5:19" x14ac:dyDescent="0.2">
      <c r="E351" s="1751"/>
      <c r="F351" s="1751"/>
      <c r="G351" s="1751"/>
      <c r="H351" s="1751"/>
      <c r="I351" s="1751"/>
      <c r="J351" s="1751"/>
      <c r="K351" s="1751"/>
      <c r="L351" s="1751"/>
      <c r="M351" s="1751"/>
      <c r="N351" s="1751"/>
      <c r="O351" s="1751"/>
      <c r="S351" s="1938"/>
    </row>
    <row r="352" spans="5:19" x14ac:dyDescent="0.2">
      <c r="E352" s="1751"/>
      <c r="F352" s="1751"/>
      <c r="G352" s="1751"/>
      <c r="H352" s="1751"/>
      <c r="I352" s="1751"/>
      <c r="J352" s="1751"/>
      <c r="K352" s="1751"/>
      <c r="L352" s="1751"/>
      <c r="M352" s="1751"/>
      <c r="N352" s="1751"/>
      <c r="O352" s="1751"/>
      <c r="S352" s="1938"/>
    </row>
    <row r="353" spans="5:19" x14ac:dyDescent="0.2">
      <c r="E353" s="1751"/>
      <c r="F353" s="1751"/>
      <c r="G353" s="1751"/>
      <c r="H353" s="1751"/>
      <c r="I353" s="1751"/>
      <c r="J353" s="1751"/>
      <c r="K353" s="1751"/>
      <c r="L353" s="1751"/>
      <c r="M353" s="1751"/>
      <c r="N353" s="1751"/>
      <c r="O353" s="1751"/>
      <c r="S353" s="1938"/>
    </row>
    <row r="354" spans="5:19" x14ac:dyDescent="0.2">
      <c r="E354" s="1751"/>
      <c r="F354" s="1751"/>
      <c r="G354" s="1751"/>
      <c r="H354" s="1751"/>
      <c r="I354" s="1751"/>
      <c r="J354" s="1751"/>
      <c r="K354" s="1751"/>
      <c r="L354" s="1751"/>
      <c r="M354" s="1751"/>
      <c r="N354" s="1751"/>
      <c r="O354" s="1751"/>
      <c r="S354" s="1938"/>
    </row>
    <row r="355" spans="5:19" x14ac:dyDescent="0.2">
      <c r="E355" s="1751"/>
      <c r="F355" s="1751"/>
      <c r="G355" s="1751"/>
      <c r="H355" s="1751"/>
      <c r="I355" s="1751"/>
      <c r="J355" s="1751"/>
      <c r="K355" s="1751"/>
      <c r="L355" s="1751"/>
      <c r="M355" s="1751"/>
      <c r="N355" s="1751"/>
      <c r="O355" s="1751"/>
      <c r="S355" s="1938"/>
    </row>
    <row r="356" spans="5:19" x14ac:dyDescent="0.2">
      <c r="E356" s="1751"/>
      <c r="F356" s="1751"/>
      <c r="G356" s="1751"/>
      <c r="H356" s="1751"/>
      <c r="I356" s="1751"/>
      <c r="J356" s="1751"/>
      <c r="K356" s="1751"/>
      <c r="L356" s="1751"/>
      <c r="M356" s="1751"/>
      <c r="N356" s="1751"/>
      <c r="O356" s="1751"/>
      <c r="S356" s="1938"/>
    </row>
    <row r="357" spans="5:19" x14ac:dyDescent="0.2">
      <c r="E357" s="1751"/>
      <c r="F357" s="1751"/>
      <c r="G357" s="1751"/>
      <c r="H357" s="1751"/>
      <c r="I357" s="1751"/>
      <c r="J357" s="1751"/>
      <c r="K357" s="1751"/>
      <c r="L357" s="1751"/>
      <c r="M357" s="1751"/>
      <c r="N357" s="1751"/>
      <c r="O357" s="1751"/>
      <c r="S357" s="1938"/>
    </row>
    <row r="358" spans="5:19" x14ac:dyDescent="0.2">
      <c r="E358" s="1751"/>
      <c r="F358" s="1751"/>
      <c r="G358" s="1751"/>
      <c r="H358" s="1751"/>
      <c r="I358" s="1751"/>
      <c r="J358" s="1751"/>
      <c r="K358" s="1751"/>
      <c r="L358" s="1751"/>
      <c r="M358" s="1751"/>
      <c r="N358" s="1751"/>
      <c r="O358" s="1751"/>
      <c r="S358" s="1938"/>
    </row>
    <row r="359" spans="5:19" x14ac:dyDescent="0.2">
      <c r="E359" s="1751"/>
      <c r="F359" s="1751"/>
      <c r="G359" s="1751"/>
      <c r="H359" s="1751"/>
      <c r="I359" s="1751"/>
      <c r="J359" s="1751"/>
      <c r="K359" s="1751"/>
      <c r="L359" s="1751"/>
      <c r="M359" s="1751"/>
      <c r="N359" s="1751"/>
      <c r="O359" s="1751"/>
      <c r="S359" s="1938"/>
    </row>
    <row r="360" spans="5:19" x14ac:dyDescent="0.2">
      <c r="E360" s="1751"/>
      <c r="F360" s="1751"/>
      <c r="G360" s="1751"/>
      <c r="H360" s="1751"/>
      <c r="I360" s="1751"/>
      <c r="J360" s="1751"/>
      <c r="K360" s="1751"/>
      <c r="L360" s="1751"/>
      <c r="M360" s="1751"/>
      <c r="N360" s="1751"/>
      <c r="O360" s="1751"/>
      <c r="S360" s="1938"/>
    </row>
    <row r="361" spans="5:19" x14ac:dyDescent="0.2">
      <c r="E361" s="1751"/>
      <c r="F361" s="1751"/>
      <c r="G361" s="1751"/>
      <c r="H361" s="1751"/>
      <c r="I361" s="1751"/>
      <c r="J361" s="1751"/>
      <c r="K361" s="1751"/>
      <c r="L361" s="1751"/>
      <c r="M361" s="1751"/>
      <c r="N361" s="1751"/>
      <c r="O361" s="1751"/>
      <c r="S361" s="1938"/>
    </row>
    <row r="362" spans="5:19" x14ac:dyDescent="0.2">
      <c r="E362" s="1751"/>
      <c r="F362" s="1751"/>
      <c r="G362" s="1751"/>
      <c r="H362" s="1751"/>
      <c r="I362" s="1751"/>
      <c r="J362" s="1751"/>
      <c r="K362" s="1751"/>
      <c r="L362" s="1751"/>
      <c r="M362" s="1751"/>
      <c r="N362" s="1751"/>
      <c r="O362" s="1751"/>
      <c r="S362" s="1938"/>
    </row>
    <row r="363" spans="5:19" x14ac:dyDescent="0.2">
      <c r="E363" s="1751"/>
      <c r="F363" s="1751"/>
      <c r="G363" s="1751"/>
      <c r="H363" s="1751"/>
      <c r="I363" s="1751"/>
      <c r="J363" s="1751"/>
      <c r="K363" s="1751"/>
      <c r="L363" s="1751"/>
      <c r="M363" s="1751"/>
      <c r="N363" s="1751"/>
      <c r="O363" s="1751"/>
      <c r="S363" s="1938"/>
    </row>
    <row r="364" spans="5:19" x14ac:dyDescent="0.2">
      <c r="E364" s="1751"/>
      <c r="F364" s="1751"/>
      <c r="G364" s="1751"/>
      <c r="H364" s="1751"/>
      <c r="I364" s="1751"/>
      <c r="J364" s="1751"/>
      <c r="K364" s="1751"/>
      <c r="L364" s="1751"/>
      <c r="M364" s="1751"/>
      <c r="N364" s="1751"/>
      <c r="O364" s="1751"/>
      <c r="S364" s="1938"/>
    </row>
    <row r="365" spans="5:19" x14ac:dyDescent="0.2">
      <c r="E365" s="1751"/>
      <c r="F365" s="1751"/>
      <c r="G365" s="1751"/>
      <c r="H365" s="1751"/>
      <c r="I365" s="1751"/>
      <c r="J365" s="1751"/>
      <c r="K365" s="1751"/>
      <c r="L365" s="1751"/>
      <c r="M365" s="1751"/>
      <c r="N365" s="1751"/>
      <c r="O365" s="1751"/>
      <c r="S365" s="1938"/>
    </row>
    <row r="366" spans="5:19" x14ac:dyDescent="0.2">
      <c r="E366" s="1751"/>
      <c r="F366" s="1751"/>
      <c r="G366" s="1751"/>
      <c r="H366" s="1751"/>
      <c r="I366" s="1751"/>
      <c r="J366" s="1751"/>
      <c r="K366" s="1751"/>
      <c r="L366" s="1751"/>
      <c r="M366" s="1751"/>
      <c r="N366" s="1751"/>
      <c r="O366" s="1751"/>
      <c r="S366" s="1938"/>
    </row>
    <row r="367" spans="5:19" x14ac:dyDescent="0.2">
      <c r="E367" s="1751"/>
      <c r="F367" s="1751"/>
      <c r="G367" s="1751"/>
      <c r="H367" s="1751"/>
      <c r="I367" s="1751"/>
      <c r="J367" s="1751"/>
      <c r="K367" s="1751"/>
      <c r="L367" s="1751"/>
      <c r="M367" s="1751"/>
      <c r="N367" s="1751"/>
      <c r="O367" s="1751"/>
      <c r="S367" s="1938"/>
    </row>
    <row r="368" spans="5:19" x14ac:dyDescent="0.2">
      <c r="E368" s="1751"/>
      <c r="F368" s="1751"/>
      <c r="G368" s="1751"/>
      <c r="H368" s="1751"/>
      <c r="I368" s="1751"/>
      <c r="J368" s="1751"/>
      <c r="K368" s="1751"/>
      <c r="L368" s="1751"/>
      <c r="M368" s="1751"/>
      <c r="N368" s="1751"/>
      <c r="O368" s="1751"/>
      <c r="S368" s="1938"/>
    </row>
    <row r="369" spans="5:19" x14ac:dyDescent="0.2">
      <c r="E369" s="1751"/>
      <c r="F369" s="1751"/>
      <c r="G369" s="1751"/>
      <c r="H369" s="1751"/>
      <c r="I369" s="1751"/>
      <c r="J369" s="1751"/>
      <c r="K369" s="1751"/>
      <c r="L369" s="1751"/>
      <c r="M369" s="1751"/>
      <c r="N369" s="1751"/>
      <c r="O369" s="1751"/>
      <c r="S369" s="1938"/>
    </row>
    <row r="370" spans="5:19" x14ac:dyDescent="0.2">
      <c r="E370" s="1751"/>
      <c r="F370" s="1751"/>
      <c r="G370" s="1751"/>
      <c r="H370" s="1751"/>
      <c r="I370" s="1751"/>
      <c r="J370" s="1751"/>
      <c r="K370" s="1751"/>
      <c r="L370" s="1751"/>
      <c r="M370" s="1751"/>
      <c r="N370" s="1751"/>
      <c r="O370" s="1751"/>
      <c r="S370" s="1938"/>
    </row>
    <row r="371" spans="5:19" x14ac:dyDescent="0.2">
      <c r="E371" s="1751"/>
      <c r="F371" s="1751"/>
      <c r="G371" s="1751"/>
      <c r="H371" s="1751"/>
      <c r="I371" s="1751"/>
      <c r="J371" s="1751"/>
      <c r="K371" s="1751"/>
      <c r="L371" s="1751"/>
      <c r="M371" s="1751"/>
      <c r="N371" s="1751"/>
      <c r="O371" s="1751"/>
      <c r="S371" s="1938"/>
    </row>
    <row r="372" spans="5:19" x14ac:dyDescent="0.2">
      <c r="E372" s="1751"/>
      <c r="F372" s="1751"/>
      <c r="G372" s="1751"/>
      <c r="H372" s="1751"/>
      <c r="I372" s="1751"/>
      <c r="J372" s="1751"/>
      <c r="K372" s="1751"/>
      <c r="L372" s="1751"/>
      <c r="M372" s="1751"/>
      <c r="N372" s="1751"/>
      <c r="O372" s="1751"/>
      <c r="S372" s="1938"/>
    </row>
    <row r="373" spans="5:19" x14ac:dyDescent="0.2">
      <c r="E373" s="1751"/>
      <c r="F373" s="1751"/>
      <c r="G373" s="1751"/>
      <c r="H373" s="1751"/>
      <c r="I373" s="1751"/>
      <c r="J373" s="1751"/>
      <c r="K373" s="1751"/>
      <c r="L373" s="1751"/>
      <c r="M373" s="1751"/>
      <c r="N373" s="1751"/>
      <c r="O373" s="1751"/>
      <c r="S373" s="1938"/>
    </row>
    <row r="374" spans="5:19" x14ac:dyDescent="0.2">
      <c r="E374" s="1751"/>
      <c r="F374" s="1751"/>
      <c r="G374" s="1751"/>
      <c r="H374" s="1751"/>
      <c r="I374" s="1751"/>
      <c r="J374" s="1751"/>
      <c r="K374" s="1751"/>
      <c r="L374" s="1751"/>
      <c r="M374" s="1751"/>
      <c r="N374" s="1751"/>
      <c r="O374" s="1751"/>
      <c r="S374" s="1938"/>
    </row>
    <row r="375" spans="5:19" x14ac:dyDescent="0.2">
      <c r="E375" s="1751"/>
      <c r="F375" s="1751"/>
      <c r="G375" s="1751"/>
      <c r="H375" s="1751"/>
      <c r="I375" s="1751"/>
      <c r="J375" s="1751"/>
      <c r="K375" s="1751"/>
      <c r="L375" s="1751"/>
      <c r="M375" s="1751"/>
      <c r="N375" s="1751"/>
      <c r="O375" s="1751"/>
      <c r="S375" s="1938"/>
    </row>
    <row r="376" spans="5:19" x14ac:dyDescent="0.2">
      <c r="E376" s="1751"/>
      <c r="F376" s="1751"/>
      <c r="G376" s="1751"/>
      <c r="H376" s="1751"/>
      <c r="I376" s="1751"/>
      <c r="J376" s="1751"/>
      <c r="K376" s="1751"/>
      <c r="L376" s="1751"/>
      <c r="M376" s="1751"/>
      <c r="N376" s="1751"/>
      <c r="O376" s="1751"/>
      <c r="S376" s="1938"/>
    </row>
    <row r="377" spans="5:19" x14ac:dyDescent="0.2">
      <c r="E377" s="1751"/>
      <c r="F377" s="1751"/>
      <c r="G377" s="1751"/>
      <c r="H377" s="1751"/>
      <c r="I377" s="1751"/>
      <c r="J377" s="1751"/>
      <c r="K377" s="1751"/>
      <c r="L377" s="1751"/>
      <c r="M377" s="1751"/>
      <c r="N377" s="1751"/>
      <c r="O377" s="1751"/>
      <c r="S377" s="1938"/>
    </row>
    <row r="378" spans="5:19" x14ac:dyDescent="0.2">
      <c r="E378" s="1751"/>
      <c r="F378" s="1751"/>
      <c r="G378" s="1751"/>
      <c r="H378" s="1751"/>
      <c r="I378" s="1751"/>
      <c r="J378" s="1751"/>
      <c r="K378" s="1751"/>
      <c r="L378" s="1751"/>
      <c r="M378" s="1751"/>
      <c r="N378" s="1751"/>
      <c r="O378" s="1751"/>
      <c r="S378" s="1938"/>
    </row>
    <row r="379" spans="5:19" x14ac:dyDescent="0.2">
      <c r="E379" s="1751"/>
      <c r="F379" s="1751"/>
      <c r="G379" s="1751"/>
      <c r="H379" s="1751"/>
      <c r="I379" s="1751"/>
      <c r="J379" s="1751"/>
      <c r="K379" s="1751"/>
      <c r="L379" s="1751"/>
      <c r="M379" s="1751"/>
      <c r="N379" s="1751"/>
      <c r="O379" s="1751"/>
      <c r="S379" s="1938"/>
    </row>
    <row r="380" spans="5:19" x14ac:dyDescent="0.2">
      <c r="E380" s="1751"/>
      <c r="F380" s="1751"/>
      <c r="G380" s="1751"/>
      <c r="H380" s="1751"/>
      <c r="I380" s="1751"/>
      <c r="J380" s="1751"/>
      <c r="K380" s="1751"/>
      <c r="L380" s="1751"/>
      <c r="M380" s="1751"/>
      <c r="N380" s="1751"/>
      <c r="O380" s="1751"/>
      <c r="S380" s="1938"/>
    </row>
    <row r="381" spans="5:19" x14ac:dyDescent="0.2">
      <c r="E381" s="1751"/>
      <c r="F381" s="1751"/>
      <c r="G381" s="1751"/>
      <c r="H381" s="1751"/>
      <c r="I381" s="1751"/>
      <c r="J381" s="1751"/>
      <c r="K381" s="1751"/>
      <c r="L381" s="1751"/>
      <c r="M381" s="1751"/>
      <c r="N381" s="1751"/>
      <c r="O381" s="1751"/>
      <c r="S381" s="1938"/>
    </row>
    <row r="382" spans="5:19" x14ac:dyDescent="0.2">
      <c r="E382" s="1751"/>
      <c r="F382" s="1751"/>
      <c r="G382" s="1751"/>
      <c r="H382" s="1751"/>
      <c r="I382" s="1751"/>
      <c r="J382" s="1751"/>
      <c r="K382" s="1751"/>
      <c r="L382" s="1751"/>
      <c r="M382" s="1751"/>
      <c r="N382" s="1751"/>
      <c r="O382" s="1751"/>
      <c r="S382" s="1938"/>
    </row>
    <row r="383" spans="5:19" x14ac:dyDescent="0.2">
      <c r="E383" s="1751"/>
      <c r="F383" s="1751"/>
      <c r="G383" s="1751"/>
      <c r="H383" s="1751"/>
      <c r="I383" s="1751"/>
      <c r="J383" s="1751"/>
      <c r="K383" s="1751"/>
      <c r="L383" s="1751"/>
      <c r="M383" s="1751"/>
      <c r="N383" s="1751"/>
      <c r="O383" s="1751"/>
      <c r="S383" s="1938"/>
    </row>
    <row r="384" spans="5:19" x14ac:dyDescent="0.2">
      <c r="E384" s="1751"/>
      <c r="F384" s="1751"/>
      <c r="G384" s="1751"/>
      <c r="H384" s="1751"/>
      <c r="I384" s="1751"/>
      <c r="J384" s="1751"/>
      <c r="K384" s="1751"/>
      <c r="L384" s="1751"/>
      <c r="M384" s="1751"/>
      <c r="N384" s="1751"/>
      <c r="O384" s="1751"/>
      <c r="S384" s="1938"/>
    </row>
    <row r="385" spans="5:19" x14ac:dyDescent="0.2">
      <c r="E385" s="1751"/>
      <c r="F385" s="1751"/>
      <c r="G385" s="1751"/>
      <c r="H385" s="1751"/>
      <c r="I385" s="1751"/>
      <c r="J385" s="1751"/>
      <c r="K385" s="1751"/>
      <c r="L385" s="1751"/>
      <c r="M385" s="1751"/>
      <c r="N385" s="1751"/>
      <c r="O385" s="1751"/>
      <c r="S385" s="1938"/>
    </row>
    <row r="386" spans="5:19" x14ac:dyDescent="0.2">
      <c r="E386" s="1751"/>
      <c r="F386" s="1751"/>
      <c r="G386" s="1751"/>
      <c r="H386" s="1751"/>
      <c r="I386" s="1751"/>
      <c r="J386" s="1751"/>
      <c r="K386" s="1751"/>
      <c r="L386" s="1751"/>
      <c r="M386" s="1751"/>
      <c r="N386" s="1751"/>
      <c r="O386" s="1751"/>
      <c r="S386" s="1938"/>
    </row>
    <row r="387" spans="5:19" x14ac:dyDescent="0.2">
      <c r="E387" s="1751"/>
      <c r="F387" s="1751"/>
      <c r="G387" s="1751"/>
      <c r="H387" s="1751"/>
      <c r="I387" s="1751"/>
      <c r="J387" s="1751"/>
      <c r="K387" s="1751"/>
      <c r="L387" s="1751"/>
      <c r="M387" s="1751"/>
      <c r="N387" s="1751"/>
      <c r="O387" s="1751"/>
      <c r="S387" s="1938"/>
    </row>
    <row r="388" spans="5:19" x14ac:dyDescent="0.2">
      <c r="E388" s="1751"/>
      <c r="F388" s="1751"/>
      <c r="G388" s="1751"/>
      <c r="H388" s="1751"/>
      <c r="I388" s="1751"/>
      <c r="J388" s="1751"/>
      <c r="K388" s="1751"/>
      <c r="L388" s="1751"/>
      <c r="M388" s="1751"/>
      <c r="N388" s="1751"/>
      <c r="O388" s="1751"/>
      <c r="S388" s="1938"/>
    </row>
    <row r="389" spans="5:19" x14ac:dyDescent="0.2">
      <c r="E389" s="1751"/>
      <c r="F389" s="1751"/>
      <c r="G389" s="1751"/>
      <c r="H389" s="1751"/>
      <c r="I389" s="1751"/>
      <c r="J389" s="1751"/>
      <c r="K389" s="1751"/>
      <c r="L389" s="1751"/>
      <c r="M389" s="1751"/>
      <c r="N389" s="1751"/>
      <c r="O389" s="1751"/>
      <c r="S389" s="1938"/>
    </row>
    <row r="390" spans="5:19" x14ac:dyDescent="0.2">
      <c r="E390" s="1751"/>
      <c r="F390" s="1751"/>
      <c r="G390" s="1751"/>
      <c r="H390" s="1751"/>
      <c r="I390" s="1751"/>
      <c r="J390" s="1751"/>
      <c r="K390" s="1751"/>
      <c r="L390" s="1751"/>
      <c r="M390" s="1751"/>
      <c r="N390" s="1751"/>
      <c r="O390" s="1751"/>
      <c r="S390" s="1938"/>
    </row>
    <row r="391" spans="5:19" x14ac:dyDescent="0.2">
      <c r="E391" s="1751"/>
      <c r="F391" s="1751"/>
      <c r="G391" s="1751"/>
      <c r="H391" s="1751"/>
      <c r="I391" s="1751"/>
      <c r="J391" s="1751"/>
      <c r="K391" s="1751"/>
      <c r="L391" s="1751"/>
      <c r="M391" s="1751"/>
      <c r="N391" s="1751"/>
      <c r="O391" s="1751"/>
      <c r="S391" s="1938"/>
    </row>
    <row r="392" spans="5:19" x14ac:dyDescent="0.2">
      <c r="E392" s="1751"/>
      <c r="F392" s="1751"/>
      <c r="G392" s="1751"/>
      <c r="H392" s="1751"/>
      <c r="I392" s="1751"/>
      <c r="J392" s="1751"/>
      <c r="K392" s="1751"/>
      <c r="L392" s="1751"/>
      <c r="M392" s="1751"/>
      <c r="N392" s="1751"/>
      <c r="O392" s="1751"/>
      <c r="S392" s="1938"/>
    </row>
    <row r="393" spans="5:19" x14ac:dyDescent="0.2">
      <c r="E393" s="1751"/>
      <c r="F393" s="1751"/>
      <c r="G393" s="1751"/>
      <c r="H393" s="1751"/>
      <c r="I393" s="1751"/>
      <c r="J393" s="1751"/>
      <c r="K393" s="1751"/>
      <c r="L393" s="1751"/>
      <c r="M393" s="1751"/>
      <c r="N393" s="1751"/>
      <c r="O393" s="1751"/>
      <c r="S393" s="1938"/>
    </row>
    <row r="394" spans="5:19" x14ac:dyDescent="0.2">
      <c r="E394" s="1751"/>
      <c r="F394" s="1751"/>
      <c r="G394" s="1751"/>
      <c r="H394" s="1751"/>
      <c r="I394" s="1751"/>
      <c r="J394" s="1751"/>
      <c r="K394" s="1751"/>
      <c r="L394" s="1751"/>
      <c r="M394" s="1751"/>
      <c r="N394" s="1751"/>
      <c r="O394" s="1751"/>
      <c r="S394" s="1938"/>
    </row>
    <row r="395" spans="5:19" x14ac:dyDescent="0.2">
      <c r="E395" s="1751"/>
      <c r="F395" s="1751"/>
      <c r="G395" s="1751"/>
      <c r="H395" s="1751"/>
      <c r="I395" s="1751"/>
      <c r="J395" s="1751"/>
      <c r="K395" s="1751"/>
      <c r="L395" s="1751"/>
      <c r="M395" s="1751"/>
      <c r="N395" s="1751"/>
      <c r="O395" s="1751"/>
      <c r="S395" s="1938"/>
    </row>
    <row r="396" spans="5:19" x14ac:dyDescent="0.2">
      <c r="E396" s="1751"/>
      <c r="F396" s="1751"/>
      <c r="G396" s="1751"/>
      <c r="H396" s="1751"/>
      <c r="I396" s="1751"/>
      <c r="J396" s="1751"/>
      <c r="K396" s="1751"/>
      <c r="L396" s="1751"/>
      <c r="M396" s="1751"/>
      <c r="N396" s="1751"/>
      <c r="O396" s="1751"/>
      <c r="S396" s="1938"/>
    </row>
    <row r="397" spans="5:19" x14ac:dyDescent="0.2">
      <c r="E397" s="1751"/>
      <c r="F397" s="1751"/>
      <c r="G397" s="1751"/>
      <c r="H397" s="1751"/>
      <c r="I397" s="1751"/>
      <c r="J397" s="1751"/>
      <c r="K397" s="1751"/>
      <c r="L397" s="1751"/>
      <c r="M397" s="1751"/>
      <c r="N397" s="1751"/>
      <c r="O397" s="1751"/>
      <c r="S397" s="1938"/>
    </row>
    <row r="398" spans="5:19" x14ac:dyDescent="0.2">
      <c r="E398" s="1751"/>
      <c r="F398" s="1751"/>
      <c r="G398" s="1751"/>
      <c r="H398" s="1751"/>
      <c r="I398" s="1751"/>
      <c r="J398" s="1751"/>
      <c r="K398" s="1751"/>
      <c r="L398" s="1751"/>
      <c r="M398" s="1751"/>
      <c r="N398" s="1751"/>
      <c r="O398" s="1751"/>
      <c r="S398" s="1938"/>
    </row>
    <row r="399" spans="5:19" x14ac:dyDescent="0.2">
      <c r="E399" s="1751"/>
      <c r="F399" s="1751"/>
      <c r="G399" s="1751"/>
      <c r="H399" s="1751"/>
      <c r="I399" s="1751"/>
      <c r="J399" s="1751"/>
      <c r="K399" s="1751"/>
      <c r="L399" s="1751"/>
      <c r="M399" s="1751"/>
      <c r="N399" s="1751"/>
      <c r="O399" s="1751"/>
      <c r="S399" s="1938"/>
    </row>
    <row r="400" spans="5:19" x14ac:dyDescent="0.2">
      <c r="E400" s="1751"/>
      <c r="F400" s="1751"/>
      <c r="G400" s="1751"/>
      <c r="H400" s="1751"/>
      <c r="I400" s="1751"/>
      <c r="J400" s="1751"/>
      <c r="K400" s="1751"/>
      <c r="L400" s="1751"/>
      <c r="M400" s="1751"/>
      <c r="N400" s="1751"/>
      <c r="O400" s="1751"/>
      <c r="S400" s="1938"/>
    </row>
    <row r="401" spans="5:19" x14ac:dyDescent="0.2">
      <c r="E401" s="1751"/>
      <c r="F401" s="1751"/>
      <c r="G401" s="1751"/>
      <c r="H401" s="1751"/>
      <c r="I401" s="1751"/>
      <c r="J401" s="1751"/>
      <c r="K401" s="1751"/>
      <c r="L401" s="1751"/>
      <c r="M401" s="1751"/>
      <c r="N401" s="1751"/>
      <c r="O401" s="1751"/>
      <c r="S401" s="1938"/>
    </row>
    <row r="402" spans="5:19" x14ac:dyDescent="0.2">
      <c r="E402" s="1751"/>
      <c r="F402" s="1751"/>
      <c r="G402" s="1751"/>
      <c r="H402" s="1751"/>
      <c r="I402" s="1751"/>
      <c r="J402" s="1751"/>
      <c r="K402" s="1751"/>
      <c r="L402" s="1751"/>
      <c r="M402" s="1751"/>
      <c r="N402" s="1751"/>
      <c r="O402" s="1751"/>
      <c r="S402" s="1938"/>
    </row>
    <row r="403" spans="5:19" x14ac:dyDescent="0.2">
      <c r="E403" s="1751"/>
      <c r="F403" s="1751"/>
      <c r="G403" s="1751"/>
      <c r="H403" s="1751"/>
      <c r="I403" s="1751"/>
      <c r="J403" s="1751"/>
      <c r="K403" s="1751"/>
      <c r="L403" s="1751"/>
      <c r="M403" s="1751"/>
      <c r="N403" s="1751"/>
      <c r="O403" s="1751"/>
      <c r="S403" s="1938"/>
    </row>
    <row r="404" spans="5:19" x14ac:dyDescent="0.2">
      <c r="E404" s="1751"/>
      <c r="F404" s="1751"/>
      <c r="G404" s="1751"/>
      <c r="H404" s="1751"/>
      <c r="I404" s="1751"/>
      <c r="J404" s="1751"/>
      <c r="K404" s="1751"/>
      <c r="L404" s="1751"/>
      <c r="M404" s="1751"/>
      <c r="N404" s="1751"/>
      <c r="O404" s="1751"/>
      <c r="S404" s="1938"/>
    </row>
    <row r="405" spans="5:19" x14ac:dyDescent="0.2">
      <c r="E405" s="1751"/>
      <c r="F405" s="1751"/>
      <c r="G405" s="1751"/>
      <c r="H405" s="1751"/>
      <c r="I405" s="1751"/>
      <c r="J405" s="1751"/>
      <c r="K405" s="1751"/>
      <c r="L405" s="1751"/>
      <c r="M405" s="1751"/>
      <c r="N405" s="1751"/>
      <c r="O405" s="1751"/>
      <c r="S405" s="1938"/>
    </row>
    <row r="406" spans="5:19" x14ac:dyDescent="0.2">
      <c r="E406" s="1751"/>
      <c r="F406" s="1751"/>
      <c r="G406" s="1751"/>
      <c r="H406" s="1751"/>
      <c r="I406" s="1751"/>
      <c r="J406" s="1751"/>
      <c r="K406" s="1751"/>
      <c r="L406" s="1751"/>
      <c r="M406" s="1751"/>
      <c r="N406" s="1751"/>
      <c r="O406" s="1751"/>
      <c r="S406" s="1938"/>
    </row>
    <row r="407" spans="5:19" x14ac:dyDescent="0.2">
      <c r="E407" s="1751"/>
      <c r="F407" s="1751"/>
      <c r="G407" s="1751"/>
      <c r="H407" s="1751"/>
      <c r="I407" s="1751"/>
      <c r="J407" s="1751"/>
      <c r="K407" s="1751"/>
      <c r="L407" s="1751"/>
      <c r="M407" s="1751"/>
      <c r="N407" s="1751"/>
      <c r="O407" s="1751"/>
      <c r="S407" s="1938"/>
    </row>
    <row r="408" spans="5:19" x14ac:dyDescent="0.2">
      <c r="E408" s="1751"/>
      <c r="F408" s="1751"/>
      <c r="G408" s="1751"/>
      <c r="H408" s="1751"/>
      <c r="I408" s="1751"/>
      <c r="J408" s="1751"/>
      <c r="K408" s="1751"/>
      <c r="L408" s="1751"/>
      <c r="M408" s="1751"/>
      <c r="N408" s="1751"/>
      <c r="O408" s="1751"/>
      <c r="S408" s="1938"/>
    </row>
    <row r="409" spans="5:19" x14ac:dyDescent="0.2">
      <c r="E409" s="1751"/>
      <c r="F409" s="1751"/>
      <c r="G409" s="1751"/>
      <c r="H409" s="1751"/>
      <c r="I409" s="1751"/>
      <c r="J409" s="1751"/>
      <c r="K409" s="1751"/>
      <c r="L409" s="1751"/>
      <c r="M409" s="1751"/>
      <c r="N409" s="1751"/>
      <c r="O409" s="1751"/>
      <c r="S409" s="1938"/>
    </row>
    <row r="410" spans="5:19" x14ac:dyDescent="0.2">
      <c r="E410" s="1751"/>
      <c r="F410" s="1751"/>
      <c r="G410" s="1751"/>
      <c r="H410" s="1751"/>
      <c r="I410" s="1751"/>
      <c r="J410" s="1751"/>
      <c r="K410" s="1751"/>
      <c r="L410" s="1751"/>
      <c r="M410" s="1751"/>
      <c r="N410" s="1751"/>
      <c r="O410" s="1751"/>
      <c r="S410" s="1938"/>
    </row>
    <row r="411" spans="5:19" x14ac:dyDescent="0.2">
      <c r="E411" s="1751"/>
      <c r="F411" s="1751"/>
      <c r="G411" s="1751"/>
      <c r="H411" s="1751"/>
      <c r="I411" s="1751"/>
      <c r="J411" s="1751"/>
      <c r="K411" s="1751"/>
      <c r="L411" s="1751"/>
      <c r="M411" s="1751"/>
      <c r="N411" s="1751"/>
      <c r="O411" s="1751"/>
      <c r="S411" s="1938"/>
    </row>
    <row r="412" spans="5:19" x14ac:dyDescent="0.2">
      <c r="E412" s="1751"/>
      <c r="F412" s="1751"/>
      <c r="G412" s="1751"/>
      <c r="H412" s="1751"/>
      <c r="I412" s="1751"/>
      <c r="J412" s="1751"/>
      <c r="K412" s="1751"/>
      <c r="L412" s="1751"/>
      <c r="M412" s="1751"/>
      <c r="N412" s="1751"/>
      <c r="O412" s="1751"/>
      <c r="S412" s="1938"/>
    </row>
    <row r="413" spans="5:19" x14ac:dyDescent="0.2">
      <c r="E413" s="1751"/>
      <c r="F413" s="1751"/>
      <c r="G413" s="1751"/>
      <c r="H413" s="1751"/>
      <c r="I413" s="1751"/>
      <c r="J413" s="1751"/>
      <c r="K413" s="1751"/>
      <c r="L413" s="1751"/>
      <c r="M413" s="1751"/>
      <c r="N413" s="1751"/>
      <c r="O413" s="1751"/>
      <c r="S413" s="1938"/>
    </row>
    <row r="414" spans="5:19" x14ac:dyDescent="0.2">
      <c r="E414" s="1751"/>
      <c r="F414" s="1751"/>
      <c r="G414" s="1751"/>
      <c r="H414" s="1751"/>
      <c r="I414" s="1751"/>
      <c r="J414" s="1751"/>
      <c r="K414" s="1751"/>
      <c r="L414" s="1751"/>
      <c r="M414" s="1751"/>
      <c r="N414" s="1751"/>
      <c r="O414" s="1751"/>
      <c r="S414" s="1938"/>
    </row>
    <row r="415" spans="5:19" x14ac:dyDescent="0.2">
      <c r="E415" s="1751"/>
      <c r="F415" s="1751"/>
      <c r="G415" s="1751"/>
      <c r="H415" s="1751"/>
      <c r="I415" s="1751"/>
      <c r="J415" s="1751"/>
      <c r="K415" s="1751"/>
      <c r="L415" s="1751"/>
      <c r="M415" s="1751"/>
      <c r="N415" s="1751"/>
      <c r="O415" s="1751"/>
      <c r="S415" s="1938"/>
    </row>
    <row r="416" spans="5:19" x14ac:dyDescent="0.2">
      <c r="E416" s="1751"/>
      <c r="F416" s="1751"/>
      <c r="G416" s="1751"/>
      <c r="H416" s="1751"/>
      <c r="I416" s="1751"/>
      <c r="J416" s="1751"/>
      <c r="K416" s="1751"/>
      <c r="L416" s="1751"/>
      <c r="M416" s="1751"/>
      <c r="N416" s="1751"/>
      <c r="O416" s="1751"/>
      <c r="S416" s="1938"/>
    </row>
    <row r="417" spans="5:19" x14ac:dyDescent="0.2">
      <c r="E417" s="1751"/>
      <c r="F417" s="1751"/>
      <c r="G417" s="1751"/>
      <c r="H417" s="1751"/>
      <c r="I417" s="1751"/>
      <c r="J417" s="1751"/>
      <c r="K417" s="1751"/>
      <c r="L417" s="1751"/>
      <c r="M417" s="1751"/>
      <c r="N417" s="1751"/>
      <c r="O417" s="1751"/>
      <c r="S417" s="1938"/>
    </row>
    <row r="418" spans="5:19" x14ac:dyDescent="0.2">
      <c r="E418" s="1751"/>
      <c r="F418" s="1751"/>
      <c r="G418" s="1751"/>
      <c r="H418" s="1751"/>
      <c r="I418" s="1751"/>
      <c r="J418" s="1751"/>
      <c r="K418" s="1751"/>
      <c r="L418" s="1751"/>
      <c r="M418" s="1751"/>
      <c r="N418" s="1751"/>
      <c r="O418" s="1751"/>
      <c r="S418" s="1938"/>
    </row>
    <row r="419" spans="5:19" x14ac:dyDescent="0.2">
      <c r="E419" s="1751"/>
      <c r="F419" s="1751"/>
      <c r="G419" s="1751"/>
      <c r="H419" s="1751"/>
      <c r="I419" s="1751"/>
      <c r="J419" s="1751"/>
      <c r="K419" s="1751"/>
      <c r="L419" s="1751"/>
      <c r="M419" s="1751"/>
      <c r="N419" s="1751"/>
      <c r="O419" s="1751"/>
      <c r="S419" s="1938"/>
    </row>
    <row r="420" spans="5:19" x14ac:dyDescent="0.2">
      <c r="E420" s="1751"/>
      <c r="F420" s="1751"/>
      <c r="G420" s="1751"/>
      <c r="H420" s="1751"/>
      <c r="I420" s="1751"/>
      <c r="J420" s="1751"/>
      <c r="K420" s="1751"/>
      <c r="L420" s="1751"/>
      <c r="M420" s="1751"/>
      <c r="N420" s="1751"/>
      <c r="O420" s="1751"/>
      <c r="S420" s="1938"/>
    </row>
    <row r="421" spans="5:19" x14ac:dyDescent="0.2">
      <c r="E421" s="1751"/>
      <c r="F421" s="1751"/>
      <c r="G421" s="1751"/>
      <c r="H421" s="1751"/>
      <c r="I421" s="1751"/>
      <c r="J421" s="1751"/>
      <c r="K421" s="1751"/>
      <c r="L421" s="1751"/>
      <c r="M421" s="1751"/>
      <c r="N421" s="1751"/>
      <c r="O421" s="1751"/>
      <c r="S421" s="1938"/>
    </row>
    <row r="422" spans="5:19" x14ac:dyDescent="0.2">
      <c r="E422" s="1751"/>
      <c r="F422" s="1751"/>
      <c r="G422" s="1751"/>
      <c r="H422" s="1751"/>
      <c r="I422" s="1751"/>
      <c r="J422" s="1751"/>
      <c r="K422" s="1751"/>
      <c r="L422" s="1751"/>
      <c r="M422" s="1751"/>
      <c r="N422" s="1751"/>
      <c r="O422" s="1751"/>
      <c r="S422" s="1938"/>
    </row>
    <row r="423" spans="5:19" x14ac:dyDescent="0.2">
      <c r="E423" s="1751"/>
      <c r="F423" s="1751"/>
      <c r="G423" s="1751"/>
      <c r="H423" s="1751"/>
      <c r="I423" s="1751"/>
      <c r="J423" s="1751"/>
      <c r="K423" s="1751"/>
      <c r="L423" s="1751"/>
      <c r="M423" s="1751"/>
      <c r="N423" s="1751"/>
      <c r="O423" s="1751"/>
      <c r="S423" s="1938"/>
    </row>
    <row r="424" spans="5:19" x14ac:dyDescent="0.2">
      <c r="E424" s="1751"/>
      <c r="F424" s="1751"/>
      <c r="G424" s="1751"/>
      <c r="H424" s="1751"/>
      <c r="I424" s="1751"/>
      <c r="J424" s="1751"/>
      <c r="K424" s="1751"/>
      <c r="L424" s="1751"/>
      <c r="M424" s="1751"/>
      <c r="N424" s="1751"/>
      <c r="O424" s="1751"/>
      <c r="S424" s="1938"/>
    </row>
    <row r="425" spans="5:19" x14ac:dyDescent="0.2">
      <c r="E425" s="1751"/>
      <c r="F425" s="1751"/>
      <c r="G425" s="1751"/>
      <c r="H425" s="1751"/>
      <c r="I425" s="1751"/>
      <c r="J425" s="1751"/>
      <c r="K425" s="1751"/>
      <c r="L425" s="1751"/>
      <c r="M425" s="1751"/>
      <c r="N425" s="1751"/>
      <c r="O425" s="1751"/>
      <c r="S425" s="1938"/>
    </row>
    <row r="426" spans="5:19" x14ac:dyDescent="0.2">
      <c r="E426" s="1751"/>
      <c r="F426" s="1751"/>
      <c r="G426" s="1751"/>
      <c r="H426" s="1751"/>
      <c r="I426" s="1751"/>
      <c r="J426" s="1751"/>
      <c r="K426" s="1751"/>
      <c r="L426" s="1751"/>
      <c r="M426" s="1751"/>
      <c r="N426" s="1751"/>
      <c r="O426" s="1751"/>
      <c r="S426" s="1938"/>
    </row>
    <row r="427" spans="5:19" x14ac:dyDescent="0.2">
      <c r="E427" s="1751"/>
      <c r="F427" s="1751"/>
      <c r="G427" s="1751"/>
      <c r="H427" s="1751"/>
      <c r="I427" s="1751"/>
      <c r="J427" s="1751"/>
      <c r="K427" s="1751"/>
      <c r="L427" s="1751"/>
      <c r="M427" s="1751"/>
      <c r="N427" s="1751"/>
      <c r="O427" s="1751"/>
      <c r="S427" s="1938"/>
    </row>
    <row r="428" spans="5:19" x14ac:dyDescent="0.2">
      <c r="E428" s="1751"/>
      <c r="F428" s="1751"/>
      <c r="G428" s="1751"/>
      <c r="H428" s="1751"/>
      <c r="I428" s="1751"/>
      <c r="J428" s="1751"/>
      <c r="K428" s="1751"/>
      <c r="L428" s="1751"/>
      <c r="M428" s="1751"/>
      <c r="N428" s="1751"/>
      <c r="O428" s="1751"/>
      <c r="S428" s="1938"/>
    </row>
    <row r="429" spans="5:19" x14ac:dyDescent="0.2">
      <c r="E429" s="1751"/>
      <c r="F429" s="1751"/>
      <c r="G429" s="1751"/>
      <c r="H429" s="1751"/>
      <c r="I429" s="1751"/>
      <c r="J429" s="1751"/>
      <c r="K429" s="1751"/>
      <c r="L429" s="1751"/>
      <c r="M429" s="1751"/>
      <c r="N429" s="1751"/>
      <c r="O429" s="1751"/>
      <c r="S429" s="1938"/>
    </row>
    <row r="430" spans="5:19" x14ac:dyDescent="0.2">
      <c r="E430" s="1751"/>
      <c r="F430" s="1751"/>
      <c r="G430" s="1751"/>
      <c r="H430" s="1751"/>
      <c r="I430" s="1751"/>
      <c r="J430" s="1751"/>
      <c r="K430" s="1751"/>
      <c r="L430" s="1751"/>
      <c r="M430" s="1751"/>
      <c r="N430" s="1751"/>
      <c r="O430" s="1751"/>
      <c r="S430" s="1938"/>
    </row>
    <row r="431" spans="5:19" x14ac:dyDescent="0.2">
      <c r="E431" s="1751"/>
      <c r="F431" s="1751"/>
      <c r="G431" s="1751"/>
      <c r="H431" s="1751"/>
      <c r="I431" s="1751"/>
      <c r="J431" s="1751"/>
      <c r="K431" s="1751"/>
      <c r="L431" s="1751"/>
      <c r="M431" s="1751"/>
      <c r="N431" s="1751"/>
      <c r="O431" s="1751"/>
      <c r="S431" s="1938"/>
    </row>
  </sheetData>
  <mergeCells count="33">
    <mergeCell ref="A22:A30"/>
    <mergeCell ref="A14:A21"/>
    <mergeCell ref="S22:S30"/>
    <mergeCell ref="C24:C27"/>
    <mergeCell ref="C29:C30"/>
    <mergeCell ref="C15:C18"/>
    <mergeCell ref="C20:C21"/>
    <mergeCell ref="S7:S9"/>
    <mergeCell ref="P8:P9"/>
    <mergeCell ref="Q8:Q9"/>
    <mergeCell ref="R8:R9"/>
    <mergeCell ref="S14:S21"/>
    <mergeCell ref="H8:H9"/>
    <mergeCell ref="O7:R7"/>
    <mergeCell ref="O8:O9"/>
    <mergeCell ref="N7:N9"/>
    <mergeCell ref="M7:M9"/>
    <mergeCell ref="A5:S5"/>
    <mergeCell ref="A6:A9"/>
    <mergeCell ref="B6:B9"/>
    <mergeCell ref="C6:C9"/>
    <mergeCell ref="D6:H6"/>
    <mergeCell ref="I6:M6"/>
    <mergeCell ref="N6:S6"/>
    <mergeCell ref="D7:D9"/>
    <mergeCell ref="E7:E9"/>
    <mergeCell ref="F7:F9"/>
    <mergeCell ref="I7:I9"/>
    <mergeCell ref="J7:J9"/>
    <mergeCell ref="G7:H7"/>
    <mergeCell ref="G8:G9"/>
    <mergeCell ref="L7:L9"/>
    <mergeCell ref="K7:K9"/>
  </mergeCells>
  <printOptions horizontalCentered="1"/>
  <pageMargins left="0.27559055118110237" right="0.27559055118110237" top="0.6692913385826772" bottom="0.59055118110236227" header="0.19685039370078741" footer="0.11811023622047245"/>
  <pageSetup paperSize="9" scale="60" firstPageNumber="85" orientation="portrait" useFirstPageNumber="1" r:id="rId1"/>
  <headerFooter alignWithMargins="0">
    <oddHeader>&amp;C&amp;"Arial,Kursywa"Informacja o przebiegu wykonania budżetu Województwa Zachodniopomorskiego za I kwartał 2013 roku - załączniki
____________________________________________________________________________________________________________________________</oddHeader>
    <oddFooter>&amp;C &amp;P</oddFooter>
  </headerFooter>
  <colBreaks count="1" manualBreakCount="1">
    <brk id="1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EE574"/>
  <sheetViews>
    <sheetView showGridLines="0" view="pageBreakPreview" zoomScaleNormal="100" zoomScaleSheetLayoutView="100" workbookViewId="0">
      <pane xSplit="1" ySplit="10" topLeftCell="B495" activePane="bottomRight" state="frozen"/>
      <selection activeCell="A5" sqref="A5:Q5"/>
      <selection pane="topRight" activeCell="A5" sqref="A5:Q5"/>
      <selection pane="bottomLeft" activeCell="A5" sqref="A5:Q5"/>
      <selection pane="bottomRight" activeCell="T1" sqref="T1:T1048576"/>
    </sheetView>
  </sheetViews>
  <sheetFormatPr defaultRowHeight="12.75" x14ac:dyDescent="0.2"/>
  <cols>
    <col min="1" max="1" width="3.42578125" style="493" customWidth="1"/>
    <col min="2" max="2" width="51.140625" style="493" customWidth="1"/>
    <col min="3" max="3" width="11.42578125" style="494" customWidth="1"/>
    <col min="4" max="4" width="13.85546875" style="493" customWidth="1"/>
    <col min="5" max="5" width="9.85546875" style="493" hidden="1" customWidth="1"/>
    <col min="6" max="6" width="11" style="493" hidden="1" customWidth="1"/>
    <col min="7" max="7" width="12.5703125" style="493" customWidth="1"/>
    <col min="8" max="8" width="13.7109375" style="493" customWidth="1"/>
    <col min="9" max="9" width="12.7109375" style="493" hidden="1" customWidth="1"/>
    <col min="10" max="10" width="10.85546875" style="493" hidden="1" customWidth="1"/>
    <col min="11" max="11" width="11.7109375" style="493" hidden="1" customWidth="1"/>
    <col min="12" max="13" width="12.7109375" style="493" hidden="1" customWidth="1"/>
    <col min="14" max="14" width="12.42578125" style="493" customWidth="1"/>
    <col min="15" max="15" width="10.42578125" style="493" bestFit="1" customWidth="1"/>
    <col min="16" max="16" width="10.85546875" style="493" customWidth="1"/>
    <col min="17" max="17" width="9.28515625" style="493" customWidth="1"/>
    <col min="18" max="18" width="13.28515625" style="493" hidden="1" customWidth="1"/>
    <col min="19" max="19" width="13.140625" style="1282" customWidth="1"/>
    <col min="20" max="20" width="12.42578125" style="493" customWidth="1"/>
    <col min="21" max="21" width="16.5703125" style="493" bestFit="1" customWidth="1"/>
    <col min="22" max="22" width="11.7109375" style="493" customWidth="1"/>
    <col min="23" max="23" width="16.5703125" style="493" customWidth="1"/>
    <col min="24" max="24" width="4.5703125" style="493" customWidth="1"/>
    <col min="25" max="25" width="16.85546875" style="493" customWidth="1"/>
    <col min="26" max="16384" width="9.140625" style="493"/>
  </cols>
  <sheetData>
    <row r="1" spans="1:71" ht="21" customHeight="1" x14ac:dyDescent="0.3">
      <c r="A1" s="492"/>
      <c r="P1" s="9" t="s">
        <v>367</v>
      </c>
      <c r="R1" s="495" t="s">
        <v>31</v>
      </c>
      <c r="S1" s="496"/>
    </row>
    <row r="2" spans="1:71" ht="6" customHeight="1" x14ac:dyDescent="0.2">
      <c r="A2" s="492"/>
      <c r="M2" s="497"/>
      <c r="N2" s="497"/>
      <c r="O2" s="497"/>
      <c r="P2" s="497"/>
      <c r="Q2" s="497"/>
      <c r="R2" s="497"/>
      <c r="S2" s="496"/>
    </row>
    <row r="3" spans="1:71" ht="15" customHeight="1" x14ac:dyDescent="0.2">
      <c r="A3" s="492"/>
      <c r="B3" s="492"/>
      <c r="C3" s="498"/>
      <c r="D3" s="499"/>
      <c r="E3" s="492"/>
      <c r="F3" s="492"/>
      <c r="G3" s="492"/>
      <c r="H3" s="492"/>
      <c r="I3" s="492"/>
      <c r="J3" s="492"/>
      <c r="K3" s="492"/>
      <c r="L3" s="492"/>
      <c r="M3" s="500"/>
      <c r="N3" s="500"/>
      <c r="O3" s="500"/>
      <c r="P3" s="500"/>
      <c r="Q3" s="500"/>
      <c r="R3" s="500"/>
      <c r="S3" s="496"/>
    </row>
    <row r="4" spans="1:71" ht="53.25" customHeight="1" x14ac:dyDescent="0.45">
      <c r="A4" s="2773" t="s">
        <v>310</v>
      </c>
      <c r="B4" s="2774"/>
      <c r="C4" s="2774"/>
      <c r="D4" s="2774"/>
      <c r="E4" s="2774"/>
      <c r="F4" s="2774"/>
      <c r="G4" s="2774"/>
      <c r="H4" s="2774"/>
      <c r="I4" s="2774"/>
      <c r="J4" s="2774"/>
      <c r="K4" s="2774"/>
      <c r="L4" s="2774"/>
      <c r="M4" s="2774"/>
      <c r="N4" s="2774"/>
      <c r="O4" s="2774"/>
      <c r="P4" s="2774"/>
      <c r="Q4" s="2774"/>
      <c r="R4" s="2774"/>
      <c r="S4" s="2774"/>
    </row>
    <row r="5" spans="1:71" ht="9.75" customHeight="1" thickBot="1" x14ac:dyDescent="0.5">
      <c r="A5" s="501"/>
      <c r="B5" s="502"/>
      <c r="C5" s="503"/>
      <c r="D5" s="502"/>
      <c r="E5" s="502"/>
      <c r="F5" s="502"/>
      <c r="G5" s="502"/>
      <c r="H5" s="502"/>
      <c r="I5" s="502"/>
      <c r="J5" s="502"/>
      <c r="K5" s="502"/>
      <c r="L5" s="502"/>
      <c r="M5" s="502"/>
      <c r="N5" s="502"/>
      <c r="O5" s="502"/>
      <c r="P5" s="502"/>
      <c r="Q5" s="502"/>
      <c r="R5" s="502"/>
      <c r="S5" s="503"/>
    </row>
    <row r="6" spans="1:71" ht="48" customHeight="1" x14ac:dyDescent="0.2">
      <c r="A6" s="2775" t="s">
        <v>32</v>
      </c>
      <c r="B6" s="2778" t="s">
        <v>33</v>
      </c>
      <c r="C6" s="2781" t="s">
        <v>34</v>
      </c>
      <c r="D6" s="2717" t="s">
        <v>350</v>
      </c>
      <c r="E6" s="2718"/>
      <c r="F6" s="2718"/>
      <c r="G6" s="2718"/>
      <c r="H6" s="2719"/>
      <c r="I6" s="2736"/>
      <c r="J6" s="2737"/>
      <c r="K6" s="2737"/>
      <c r="L6" s="2737"/>
      <c r="M6" s="2738"/>
      <c r="N6" s="2717" t="s">
        <v>214</v>
      </c>
      <c r="O6" s="2718"/>
      <c r="P6" s="2718"/>
      <c r="Q6" s="2718"/>
      <c r="R6" s="2784"/>
      <c r="S6" s="2785" t="s">
        <v>35</v>
      </c>
    </row>
    <row r="7" spans="1:71" ht="27" customHeight="1" x14ac:dyDescent="0.2">
      <c r="A7" s="2776"/>
      <c r="B7" s="2779"/>
      <c r="C7" s="2782"/>
      <c r="D7" s="2739" t="s">
        <v>0</v>
      </c>
      <c r="E7" s="2742" t="s">
        <v>215</v>
      </c>
      <c r="F7" s="2745" t="s">
        <v>216</v>
      </c>
      <c r="G7" s="2748" t="s">
        <v>349</v>
      </c>
      <c r="H7" s="2749"/>
      <c r="I7" s="2750" t="s">
        <v>0</v>
      </c>
      <c r="J7" s="2753" t="s">
        <v>215</v>
      </c>
      <c r="K7" s="2733" t="s">
        <v>216</v>
      </c>
      <c r="L7" s="2753" t="s">
        <v>308</v>
      </c>
      <c r="M7" s="2756" t="s">
        <v>304</v>
      </c>
      <c r="N7" s="2750" t="s">
        <v>217</v>
      </c>
      <c r="O7" s="2720" t="s">
        <v>357</v>
      </c>
      <c r="P7" s="2721"/>
      <c r="Q7" s="2721"/>
      <c r="R7" s="2788"/>
      <c r="S7" s="2786"/>
    </row>
    <row r="8" spans="1:71" ht="48.75" customHeight="1" x14ac:dyDescent="0.2">
      <c r="A8" s="2776"/>
      <c r="B8" s="2779"/>
      <c r="C8" s="2782"/>
      <c r="D8" s="2740"/>
      <c r="E8" s="2743"/>
      <c r="F8" s="2746"/>
      <c r="G8" s="2753" t="s">
        <v>354</v>
      </c>
      <c r="H8" s="2761" t="s">
        <v>304</v>
      </c>
      <c r="I8" s="2751"/>
      <c r="J8" s="2754"/>
      <c r="K8" s="2734"/>
      <c r="L8" s="2754"/>
      <c r="M8" s="2757"/>
      <c r="N8" s="2759"/>
      <c r="O8" s="2707" t="s">
        <v>352</v>
      </c>
      <c r="P8" s="2709" t="s">
        <v>351</v>
      </c>
      <c r="Q8" s="2807" t="s">
        <v>353</v>
      </c>
      <c r="R8" s="2709" t="s">
        <v>219</v>
      </c>
      <c r="S8" s="2786"/>
    </row>
    <row r="9" spans="1:71" ht="46.5" customHeight="1" thickBot="1" x14ac:dyDescent="0.25">
      <c r="A9" s="2777"/>
      <c r="B9" s="2780"/>
      <c r="C9" s="2783"/>
      <c r="D9" s="2741"/>
      <c r="E9" s="2744"/>
      <c r="F9" s="2747"/>
      <c r="G9" s="2755"/>
      <c r="H9" s="2762"/>
      <c r="I9" s="2752"/>
      <c r="J9" s="2755"/>
      <c r="K9" s="2735"/>
      <c r="L9" s="2755"/>
      <c r="M9" s="2758"/>
      <c r="N9" s="2760"/>
      <c r="O9" s="2708"/>
      <c r="P9" s="2710"/>
      <c r="Q9" s="2808"/>
      <c r="R9" s="2710"/>
      <c r="S9" s="2787"/>
    </row>
    <row r="10" spans="1:71" s="508" customFormat="1" ht="13.5" customHeight="1" thickBot="1" x14ac:dyDescent="0.25">
      <c r="A10" s="504">
        <v>1</v>
      </c>
      <c r="B10" s="505">
        <v>2</v>
      </c>
      <c r="C10" s="258">
        <v>3</v>
      </c>
      <c r="D10" s="506">
        <v>4</v>
      </c>
      <c r="E10" s="257"/>
      <c r="F10" s="257"/>
      <c r="G10" s="257">
        <v>5</v>
      </c>
      <c r="H10" s="258">
        <v>6</v>
      </c>
      <c r="I10" s="506">
        <v>7</v>
      </c>
      <c r="J10" s="257"/>
      <c r="K10" s="257"/>
      <c r="L10" s="257">
        <v>8</v>
      </c>
      <c r="M10" s="258">
        <v>9</v>
      </c>
      <c r="N10" s="506">
        <v>7</v>
      </c>
      <c r="O10" s="257">
        <v>8</v>
      </c>
      <c r="P10" s="257">
        <v>9</v>
      </c>
      <c r="Q10" s="257">
        <v>10</v>
      </c>
      <c r="R10" s="257">
        <v>14</v>
      </c>
      <c r="S10" s="507">
        <v>11</v>
      </c>
    </row>
    <row r="11" spans="1:71" s="271" customFormat="1" ht="18" customHeight="1" thickBot="1" x14ac:dyDescent="0.25">
      <c r="A11" s="263"/>
      <c r="B11" s="264" t="s">
        <v>220</v>
      </c>
      <c r="C11" s="509"/>
      <c r="D11" s="35">
        <f t="shared" ref="D11:H11" si="0">D12+D13</f>
        <v>716798469</v>
      </c>
      <c r="E11" s="36">
        <f t="shared" si="0"/>
        <v>244302979</v>
      </c>
      <c r="F11" s="34">
        <f t="shared" si="0"/>
        <v>168606305</v>
      </c>
      <c r="G11" s="34">
        <f t="shared" si="0"/>
        <v>169259960</v>
      </c>
      <c r="H11" s="37">
        <f t="shared" si="0"/>
        <v>134629225</v>
      </c>
      <c r="I11" s="35">
        <f t="shared" ref="I11:N11" si="1">I12+I13</f>
        <v>716798300.49999988</v>
      </c>
      <c r="J11" s="36">
        <f t="shared" si="1"/>
        <v>244302819</v>
      </c>
      <c r="K11" s="510">
        <f t="shared" si="1"/>
        <v>168606296.5</v>
      </c>
      <c r="L11" s="34">
        <f t="shared" si="1"/>
        <v>169259960</v>
      </c>
      <c r="M11" s="37">
        <f t="shared" si="1"/>
        <v>134629225</v>
      </c>
      <c r="N11" s="35">
        <f t="shared" si="1"/>
        <v>415435043.19999999</v>
      </c>
      <c r="O11" s="156">
        <f>N11/D11*100</f>
        <v>57.957021557198665</v>
      </c>
      <c r="P11" s="36">
        <f t="shared" ref="P11" si="2">P12+P13</f>
        <v>2525927.7000000002</v>
      </c>
      <c r="Q11" s="156">
        <f>P11/G11*100</f>
        <v>1.4923362264767168</v>
      </c>
      <c r="R11" s="36">
        <f t="shared" ref="R11:R13" si="3">+P11-L11*0.25</f>
        <v>-39789062.299999997</v>
      </c>
      <c r="S11" s="511"/>
      <c r="T11" s="270"/>
      <c r="U11" s="239"/>
      <c r="V11" s="239"/>
      <c r="W11" s="239"/>
      <c r="X11" s="239"/>
      <c r="Y11" s="239"/>
      <c r="Z11" s="239"/>
      <c r="AA11" s="239"/>
      <c r="AB11" s="239"/>
      <c r="AC11" s="239"/>
      <c r="AD11" s="239"/>
      <c r="AE11" s="239"/>
      <c r="AF11" s="239"/>
      <c r="AG11" s="239"/>
      <c r="AH11" s="239"/>
      <c r="AI11" s="239"/>
      <c r="AJ11" s="239"/>
      <c r="AK11" s="239"/>
      <c r="AL11" s="239"/>
      <c r="AM11" s="239"/>
      <c r="AN11" s="239"/>
      <c r="AO11" s="239"/>
      <c r="AP11" s="239"/>
      <c r="AQ11" s="239"/>
      <c r="AR11" s="239"/>
      <c r="AS11" s="239"/>
      <c r="AT11" s="239"/>
      <c r="AU11" s="239"/>
      <c r="AV11" s="239"/>
      <c r="AW11" s="239"/>
      <c r="AX11" s="239"/>
      <c r="AY11" s="239"/>
      <c r="AZ11" s="239"/>
      <c r="BA11" s="239"/>
      <c r="BB11" s="239"/>
      <c r="BC11" s="239"/>
      <c r="BD11" s="239"/>
      <c r="BE11" s="239"/>
      <c r="BF11" s="239"/>
      <c r="BG11" s="239"/>
      <c r="BH11" s="239"/>
      <c r="BI11" s="239"/>
      <c r="BJ11" s="239"/>
      <c r="BK11" s="239"/>
      <c r="BL11" s="239"/>
      <c r="BM11" s="239"/>
      <c r="BN11" s="239"/>
      <c r="BO11" s="239"/>
      <c r="BP11" s="239"/>
      <c r="BQ11" s="239"/>
      <c r="BR11" s="239"/>
      <c r="BS11" s="239"/>
    </row>
    <row r="12" spans="1:71" s="522" customFormat="1" ht="14.25" customHeight="1" thickTop="1" thickBot="1" x14ac:dyDescent="0.25">
      <c r="A12" s="512"/>
      <c r="B12" s="513" t="s">
        <v>221</v>
      </c>
      <c r="C12" s="514"/>
      <c r="D12" s="44">
        <f t="shared" ref="D12:H12" si="4">D458</f>
        <v>1260895</v>
      </c>
      <c r="E12" s="45">
        <f t="shared" si="4"/>
        <v>1193810</v>
      </c>
      <c r="F12" s="43">
        <f t="shared" si="4"/>
        <v>67085</v>
      </c>
      <c r="G12" s="515">
        <f t="shared" si="4"/>
        <v>0</v>
      </c>
      <c r="H12" s="516">
        <f t="shared" si="4"/>
        <v>0</v>
      </c>
      <c r="I12" s="44">
        <f t="shared" ref="I12:N12" si="5">I458</f>
        <v>1260729</v>
      </c>
      <c r="J12" s="45">
        <f t="shared" si="5"/>
        <v>1193650</v>
      </c>
      <c r="K12" s="517">
        <f t="shared" si="5"/>
        <v>67079</v>
      </c>
      <c r="L12" s="43">
        <f t="shared" si="5"/>
        <v>0</v>
      </c>
      <c r="M12" s="46">
        <f t="shared" si="5"/>
        <v>0</v>
      </c>
      <c r="N12" s="47">
        <f t="shared" si="5"/>
        <v>1260729</v>
      </c>
      <c r="O12" s="157">
        <f t="shared" ref="O12:O75" si="6">N12/D12*100</f>
        <v>99.986834748333521</v>
      </c>
      <c r="P12" s="518">
        <f t="shared" ref="P12" si="7">P458</f>
        <v>0</v>
      </c>
      <c r="Q12" s="519">
        <v>0</v>
      </c>
      <c r="R12" s="45">
        <f t="shared" si="3"/>
        <v>0</v>
      </c>
      <c r="S12" s="520"/>
      <c r="T12" s="521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50"/>
      <c r="AO12" s="250"/>
      <c r="AP12" s="250"/>
      <c r="AQ12" s="250"/>
      <c r="AR12" s="250"/>
      <c r="AS12" s="250"/>
      <c r="AT12" s="250"/>
      <c r="AU12" s="250"/>
      <c r="AV12" s="250"/>
      <c r="AW12" s="250"/>
      <c r="AX12" s="250"/>
      <c r="AY12" s="250"/>
      <c r="AZ12" s="250"/>
      <c r="BA12" s="250"/>
      <c r="BB12" s="250"/>
      <c r="BC12" s="250"/>
      <c r="BD12" s="250"/>
      <c r="BE12" s="250"/>
      <c r="BF12" s="250"/>
      <c r="BG12" s="250"/>
      <c r="BH12" s="250"/>
      <c r="BI12" s="250"/>
      <c r="BJ12" s="250"/>
      <c r="BK12" s="250"/>
      <c r="BL12" s="250"/>
      <c r="BM12" s="250"/>
      <c r="BN12" s="250"/>
      <c r="BO12" s="250"/>
      <c r="BP12" s="250"/>
      <c r="BQ12" s="250"/>
      <c r="BR12" s="250"/>
      <c r="BS12" s="250"/>
    </row>
    <row r="13" spans="1:71" s="271" customFormat="1" ht="14.25" customHeight="1" thickTop="1" thickBot="1" x14ac:dyDescent="0.25">
      <c r="A13" s="272"/>
      <c r="B13" s="523" t="s">
        <v>222</v>
      </c>
      <c r="C13" s="524"/>
      <c r="D13" s="287">
        <f t="shared" ref="D13:H13" si="8">D51+D65+D81+D95+D111+D127+D141+D153+D162+D174+D183+D192+D204+D216+D225+D237+D246+D258+D267+D276+D285+D294+D303+D312+D321+D330+D339+D348+D360+D385+D394+D403+D435</f>
        <v>715537574</v>
      </c>
      <c r="E13" s="285">
        <f t="shared" si="8"/>
        <v>243109169</v>
      </c>
      <c r="F13" s="286">
        <f t="shared" si="8"/>
        <v>168539220</v>
      </c>
      <c r="G13" s="286">
        <f t="shared" si="8"/>
        <v>169259960</v>
      </c>
      <c r="H13" s="525">
        <f t="shared" si="8"/>
        <v>134629225</v>
      </c>
      <c r="I13" s="287">
        <f t="shared" ref="I13:N13" si="9">I51+I65+I81+I95+I111+I127+I141+I153+I162+I174+I183+I192+I204+I216+I225+I237+I246+I258+I267+I276+I285+I294+I303+I312+I321+I330+I339+I348+I360+I385+I394+I403+I435</f>
        <v>715537571.49999988</v>
      </c>
      <c r="J13" s="285">
        <f t="shared" si="9"/>
        <v>243109169</v>
      </c>
      <c r="K13" s="526">
        <f t="shared" si="9"/>
        <v>168539217.5</v>
      </c>
      <c r="L13" s="286">
        <f t="shared" si="9"/>
        <v>169259960</v>
      </c>
      <c r="M13" s="525">
        <f t="shared" si="9"/>
        <v>134629225</v>
      </c>
      <c r="N13" s="527">
        <f t="shared" si="9"/>
        <v>414174314.19999999</v>
      </c>
      <c r="O13" s="162">
        <f t="shared" si="6"/>
        <v>57.882958107242601</v>
      </c>
      <c r="P13" s="285">
        <f t="shared" ref="P13" si="10">P51+P65+P81+P95+P111+P127+P141+P153+P162+P174+P183+P192+P204+P216+P225+P237+P246+P258+P267+P276+P285+P294+P303+P312+P321+P330+P339+P348+P360+P385+P394+P403+P435</f>
        <v>2525927.7000000002</v>
      </c>
      <c r="Q13" s="162">
        <f t="shared" ref="Q13:Q74" si="11">P13/G13*100</f>
        <v>1.4923362264767168</v>
      </c>
      <c r="R13" s="528">
        <f t="shared" si="3"/>
        <v>-39789062.299999997</v>
      </c>
      <c r="S13" s="511"/>
      <c r="T13" s="270"/>
      <c r="U13" s="239"/>
      <c r="V13" s="239"/>
      <c r="W13" s="239"/>
      <c r="X13" s="239"/>
      <c r="Y13" s="239"/>
      <c r="Z13" s="239"/>
      <c r="AA13" s="239"/>
      <c r="AB13" s="239"/>
      <c r="AC13" s="239"/>
      <c r="AD13" s="239"/>
      <c r="AE13" s="239"/>
      <c r="AF13" s="239"/>
      <c r="AG13" s="239"/>
      <c r="AH13" s="239"/>
      <c r="AI13" s="239"/>
      <c r="AJ13" s="239"/>
      <c r="AK13" s="239"/>
      <c r="AL13" s="239"/>
      <c r="AM13" s="239"/>
      <c r="AN13" s="239"/>
      <c r="AO13" s="239"/>
      <c r="AP13" s="239"/>
      <c r="AQ13" s="239"/>
      <c r="AR13" s="239"/>
      <c r="AS13" s="239"/>
      <c r="AT13" s="239"/>
      <c r="AU13" s="239"/>
      <c r="AV13" s="239"/>
      <c r="AW13" s="239"/>
      <c r="AX13" s="239"/>
      <c r="AY13" s="239"/>
      <c r="AZ13" s="239"/>
      <c r="BA13" s="239"/>
      <c r="BB13" s="239"/>
      <c r="BC13" s="239"/>
      <c r="BD13" s="239"/>
      <c r="BE13" s="239"/>
      <c r="BF13" s="239"/>
      <c r="BG13" s="239"/>
      <c r="BH13" s="239"/>
      <c r="BI13" s="239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</row>
    <row r="14" spans="1:71" ht="13.5" customHeight="1" x14ac:dyDescent="0.2">
      <c r="A14" s="2789"/>
      <c r="B14" s="529" t="s">
        <v>3</v>
      </c>
      <c r="C14" s="530"/>
      <c r="D14" s="531">
        <f t="shared" ref="D14:H14" si="12">+D15+D21</f>
        <v>716798469</v>
      </c>
      <c r="E14" s="532">
        <f t="shared" si="12"/>
        <v>244302979</v>
      </c>
      <c r="F14" s="533">
        <f t="shared" si="12"/>
        <v>168606305</v>
      </c>
      <c r="G14" s="533">
        <f t="shared" si="12"/>
        <v>169259960</v>
      </c>
      <c r="H14" s="534">
        <f t="shared" si="12"/>
        <v>134629225</v>
      </c>
      <c r="I14" s="535">
        <f t="shared" ref="I14:M14" si="13">+I15+I21</f>
        <v>716798300.5</v>
      </c>
      <c r="J14" s="533">
        <f t="shared" si="13"/>
        <v>244302819</v>
      </c>
      <c r="K14" s="533">
        <f t="shared" si="13"/>
        <v>168606296.5</v>
      </c>
      <c r="L14" s="533">
        <f t="shared" si="13"/>
        <v>169259960</v>
      </c>
      <c r="M14" s="534">
        <f t="shared" si="13"/>
        <v>134629225</v>
      </c>
      <c r="N14" s="532">
        <f t="shared" ref="N14" si="14">+N15+N21</f>
        <v>415435043.20000005</v>
      </c>
      <c r="O14" s="536">
        <f t="shared" si="6"/>
        <v>57.957021557198672</v>
      </c>
      <c r="P14" s="532">
        <f t="shared" ref="P14" si="15">+P15+P21</f>
        <v>2525927.7000000002</v>
      </c>
      <c r="Q14" s="536">
        <f t="shared" si="11"/>
        <v>1.4923362264767168</v>
      </c>
      <c r="R14" s="532">
        <f>+P14-L14</f>
        <v>-166734032.30000001</v>
      </c>
      <c r="S14" s="2792"/>
      <c r="T14" s="537"/>
      <c r="U14" s="537"/>
      <c r="V14" s="537"/>
      <c r="W14" s="538"/>
      <c r="X14" s="538"/>
      <c r="Y14" s="538"/>
    </row>
    <row r="15" spans="1:71" s="547" customFormat="1" ht="13.5" customHeight="1" x14ac:dyDescent="0.2">
      <c r="A15" s="2790"/>
      <c r="B15" s="539" t="s">
        <v>4</v>
      </c>
      <c r="C15" s="2796"/>
      <c r="D15" s="540">
        <f t="shared" ref="D15:H15" si="16">+D16+D17+D18+D19+D20</f>
        <v>285233196</v>
      </c>
      <c r="E15" s="541">
        <f t="shared" si="16"/>
        <v>110850676</v>
      </c>
      <c r="F15" s="542">
        <f t="shared" si="16"/>
        <v>42271980</v>
      </c>
      <c r="G15" s="542">
        <f t="shared" si="16"/>
        <v>69796348</v>
      </c>
      <c r="H15" s="543">
        <f t="shared" si="16"/>
        <v>62314192</v>
      </c>
      <c r="I15" s="544">
        <f t="shared" ref="I15:M15" si="17">+I16+I17+I18+I19+I20</f>
        <v>285235767.55000001</v>
      </c>
      <c r="J15" s="542">
        <f t="shared" si="17"/>
        <v>110850652</v>
      </c>
      <c r="K15" s="542">
        <f t="shared" si="17"/>
        <v>42274575.549999997</v>
      </c>
      <c r="L15" s="542">
        <f t="shared" si="17"/>
        <v>69796348</v>
      </c>
      <c r="M15" s="543">
        <f t="shared" si="17"/>
        <v>62314192</v>
      </c>
      <c r="N15" s="541">
        <f t="shared" ref="N15" si="18">+N16+N17+N18+N19+N20</f>
        <v>154756377.37000003</v>
      </c>
      <c r="O15" s="545">
        <f t="shared" si="6"/>
        <v>54.256089242151198</v>
      </c>
      <c r="P15" s="541">
        <f t="shared" ref="P15" si="19">+P16+P17+P18+P19+P20</f>
        <v>1631149.82</v>
      </c>
      <c r="Q15" s="545">
        <f t="shared" si="11"/>
        <v>2.3370131342688589</v>
      </c>
      <c r="R15" s="541">
        <f t="shared" ref="R15:R70" si="20">+P15-L15</f>
        <v>-68165198.180000007</v>
      </c>
      <c r="S15" s="2793"/>
      <c r="T15" s="537"/>
      <c r="U15" s="546">
        <f>R16+R17+R18+R19+R20</f>
        <v>-68165198.179999992</v>
      </c>
      <c r="W15" s="548"/>
      <c r="X15" s="549"/>
      <c r="Y15" s="548"/>
    </row>
    <row r="16" spans="1:71" ht="13.5" customHeight="1" x14ac:dyDescent="0.2">
      <c r="A16" s="2790"/>
      <c r="B16" s="550" t="s">
        <v>5</v>
      </c>
      <c r="C16" s="2797"/>
      <c r="D16" s="551">
        <f t="shared" ref="D16:H16" si="21">+D37+D369+D423+D451</f>
        <v>139712369</v>
      </c>
      <c r="E16" s="551">
        <f t="shared" si="21"/>
        <v>41034857</v>
      </c>
      <c r="F16" s="552">
        <f t="shared" si="21"/>
        <v>23444618</v>
      </c>
      <c r="G16" s="553">
        <f t="shared" si="21"/>
        <v>47976892</v>
      </c>
      <c r="H16" s="554">
        <f t="shared" si="21"/>
        <v>27256002</v>
      </c>
      <c r="I16" s="552">
        <f t="shared" ref="I16:M16" si="22">+I37+I369+I423+I451</f>
        <v>139714940.47000003</v>
      </c>
      <c r="J16" s="553">
        <f t="shared" si="22"/>
        <v>41034833</v>
      </c>
      <c r="K16" s="553">
        <f>+K37+K369+K423+K451</f>
        <v>23447213.469999999</v>
      </c>
      <c r="L16" s="553">
        <f t="shared" si="22"/>
        <v>47976892</v>
      </c>
      <c r="M16" s="554">
        <f t="shared" si="22"/>
        <v>27256002</v>
      </c>
      <c r="N16" s="551">
        <f t="shared" ref="N16" si="23">+N37+N369+N423+N451</f>
        <v>66093784.030000016</v>
      </c>
      <c r="O16" s="555">
        <f t="shared" si="6"/>
        <v>47.307038383981606</v>
      </c>
      <c r="P16" s="556">
        <f t="shared" ref="P16" si="24">+P37+P369+P423+P451</f>
        <v>1611737.56</v>
      </c>
      <c r="Q16" s="555">
        <f t="shared" si="11"/>
        <v>3.3594038563398398</v>
      </c>
      <c r="R16" s="556">
        <f t="shared" si="20"/>
        <v>-46365154.439999998</v>
      </c>
      <c r="S16" s="2794"/>
      <c r="T16" s="537"/>
      <c r="W16" s="537"/>
    </row>
    <row r="17" spans="1:25" ht="12" customHeight="1" x14ac:dyDescent="0.2">
      <c r="A17" s="2790"/>
      <c r="B17" s="557" t="s">
        <v>36</v>
      </c>
      <c r="C17" s="2797"/>
      <c r="D17" s="551">
        <f>++D424</f>
        <v>14587500</v>
      </c>
      <c r="E17" s="551">
        <f t="shared" ref="E17:H17" si="25">++E424</f>
        <v>0</v>
      </c>
      <c r="F17" s="552">
        <f t="shared" si="25"/>
        <v>0</v>
      </c>
      <c r="G17" s="553">
        <f t="shared" si="25"/>
        <v>0</v>
      </c>
      <c r="H17" s="554">
        <f t="shared" si="25"/>
        <v>14587500</v>
      </c>
      <c r="I17" s="552">
        <f>++I424</f>
        <v>14587500</v>
      </c>
      <c r="J17" s="553">
        <f t="shared" ref="J17:M17" si="26">++J424</f>
        <v>0</v>
      </c>
      <c r="K17" s="553">
        <f t="shared" si="26"/>
        <v>0</v>
      </c>
      <c r="L17" s="553">
        <f t="shared" si="26"/>
        <v>0</v>
      </c>
      <c r="M17" s="554">
        <f t="shared" si="26"/>
        <v>14587500</v>
      </c>
      <c r="N17" s="551">
        <f t="shared" ref="N17" si="27">++N424</f>
        <v>0</v>
      </c>
      <c r="O17" s="555">
        <f t="shared" si="6"/>
        <v>0</v>
      </c>
      <c r="P17" s="556">
        <f t="shared" ref="P17" si="28">++P424</f>
        <v>0</v>
      </c>
      <c r="Q17" s="558">
        <v>0</v>
      </c>
      <c r="R17" s="556">
        <f t="shared" si="20"/>
        <v>0</v>
      </c>
      <c r="S17" s="2794"/>
      <c r="T17" s="537"/>
    </row>
    <row r="18" spans="1:25" ht="13.5" customHeight="1" x14ac:dyDescent="0.2">
      <c r="A18" s="2790"/>
      <c r="B18" s="550" t="s">
        <v>10</v>
      </c>
      <c r="C18" s="2797"/>
      <c r="D18" s="551">
        <f t="shared" ref="D18:H18" si="29">+D38</f>
        <v>16413791</v>
      </c>
      <c r="E18" s="551">
        <f t="shared" si="29"/>
        <v>12750783</v>
      </c>
      <c r="F18" s="552">
        <f t="shared" si="29"/>
        <v>3663008</v>
      </c>
      <c r="G18" s="553">
        <f t="shared" si="29"/>
        <v>0</v>
      </c>
      <c r="H18" s="554">
        <f t="shared" si="29"/>
        <v>0</v>
      </c>
      <c r="I18" s="552">
        <f t="shared" ref="I18:M18" si="30">+I38</f>
        <v>16413791.07</v>
      </c>
      <c r="J18" s="553">
        <f t="shared" si="30"/>
        <v>12750783</v>
      </c>
      <c r="K18" s="553">
        <f t="shared" si="30"/>
        <v>3663008.07</v>
      </c>
      <c r="L18" s="553">
        <f t="shared" si="30"/>
        <v>0</v>
      </c>
      <c r="M18" s="554">
        <f t="shared" si="30"/>
        <v>0</v>
      </c>
      <c r="N18" s="551">
        <f t="shared" ref="N18" si="31">+N38</f>
        <v>16413791.07</v>
      </c>
      <c r="O18" s="555">
        <f t="shared" si="6"/>
        <v>100.00000042647063</v>
      </c>
      <c r="P18" s="556">
        <f t="shared" ref="P18" si="32">+P38</f>
        <v>0</v>
      </c>
      <c r="Q18" s="558">
        <v>0</v>
      </c>
      <c r="R18" s="556">
        <f t="shared" si="20"/>
        <v>0</v>
      </c>
      <c r="S18" s="2794"/>
      <c r="T18" s="537"/>
    </row>
    <row r="19" spans="1:25" ht="13.5" customHeight="1" x14ac:dyDescent="0.2">
      <c r="A19" s="2790"/>
      <c r="B19" s="550" t="s">
        <v>11</v>
      </c>
      <c r="C19" s="2797"/>
      <c r="D19" s="551">
        <f t="shared" ref="D19:H19" si="33">+D425</f>
        <v>39488536</v>
      </c>
      <c r="E19" s="551">
        <f t="shared" si="33"/>
        <v>0</v>
      </c>
      <c r="F19" s="552">
        <f t="shared" si="33"/>
        <v>0</v>
      </c>
      <c r="G19" s="553">
        <f t="shared" si="33"/>
        <v>20000000</v>
      </c>
      <c r="H19" s="554">
        <f t="shared" si="33"/>
        <v>19488536</v>
      </c>
      <c r="I19" s="552">
        <f t="shared" ref="I19:M19" si="34">+I425</f>
        <v>39488536</v>
      </c>
      <c r="J19" s="553">
        <f t="shared" si="34"/>
        <v>0</v>
      </c>
      <c r="K19" s="553">
        <f t="shared" si="34"/>
        <v>0</v>
      </c>
      <c r="L19" s="553">
        <f t="shared" si="34"/>
        <v>20000000</v>
      </c>
      <c r="M19" s="554">
        <f t="shared" si="34"/>
        <v>19488536</v>
      </c>
      <c r="N19" s="551">
        <f t="shared" ref="N19" si="35">+N425</f>
        <v>0</v>
      </c>
      <c r="O19" s="555">
        <f t="shared" si="6"/>
        <v>0</v>
      </c>
      <c r="P19" s="556">
        <f t="shared" ref="P19" si="36">+P425</f>
        <v>0</v>
      </c>
      <c r="Q19" s="555">
        <f t="shared" si="11"/>
        <v>0</v>
      </c>
      <c r="R19" s="556">
        <f t="shared" si="20"/>
        <v>-20000000</v>
      </c>
      <c r="S19" s="2794"/>
      <c r="T19" s="537"/>
    </row>
    <row r="20" spans="1:25" ht="13.5" customHeight="1" x14ac:dyDescent="0.2">
      <c r="A20" s="2790"/>
      <c r="B20" s="550" t="s">
        <v>12</v>
      </c>
      <c r="C20" s="2797"/>
      <c r="D20" s="551">
        <f t="shared" ref="D20:H20" si="37">D39</f>
        <v>75031000</v>
      </c>
      <c r="E20" s="556">
        <f t="shared" si="37"/>
        <v>57065036</v>
      </c>
      <c r="F20" s="553">
        <f t="shared" si="37"/>
        <v>15164354</v>
      </c>
      <c r="G20" s="553">
        <f t="shared" si="37"/>
        <v>1819456</v>
      </c>
      <c r="H20" s="554">
        <f t="shared" si="37"/>
        <v>982154</v>
      </c>
      <c r="I20" s="552">
        <f t="shared" ref="I20:M20" si="38">I39</f>
        <v>75031000.010000005</v>
      </c>
      <c r="J20" s="553">
        <f t="shared" si="38"/>
        <v>57065036</v>
      </c>
      <c r="K20" s="553">
        <f t="shared" si="38"/>
        <v>15164354.01</v>
      </c>
      <c r="L20" s="553">
        <f t="shared" si="38"/>
        <v>1819456</v>
      </c>
      <c r="M20" s="554">
        <f t="shared" si="38"/>
        <v>982154</v>
      </c>
      <c r="N20" s="556">
        <f t="shared" ref="N20" si="39">N39</f>
        <v>72248802.270000011</v>
      </c>
      <c r="O20" s="555">
        <f t="shared" si="6"/>
        <v>96.291935693246813</v>
      </c>
      <c r="P20" s="556">
        <f t="shared" ref="P20" si="40">P39</f>
        <v>19412.259999999998</v>
      </c>
      <c r="Q20" s="555">
        <f t="shared" si="11"/>
        <v>1.0669265978402336</v>
      </c>
      <c r="R20" s="556">
        <f t="shared" si="20"/>
        <v>-1800043.74</v>
      </c>
      <c r="S20" s="2794"/>
      <c r="T20" s="537"/>
    </row>
    <row r="21" spans="1:25" s="547" customFormat="1" ht="13.5" customHeight="1" x14ac:dyDescent="0.2">
      <c r="A21" s="2790"/>
      <c r="B21" s="539" t="s">
        <v>13</v>
      </c>
      <c r="C21" s="2797"/>
      <c r="D21" s="540">
        <f t="shared" ref="D21:H21" si="41">+D22+D23+D24</f>
        <v>431565273</v>
      </c>
      <c r="E21" s="541">
        <f t="shared" si="41"/>
        <v>133452303</v>
      </c>
      <c r="F21" s="542">
        <f t="shared" si="41"/>
        <v>126334325</v>
      </c>
      <c r="G21" s="542">
        <f t="shared" si="41"/>
        <v>99463612</v>
      </c>
      <c r="H21" s="543">
        <f t="shared" si="41"/>
        <v>72315033</v>
      </c>
      <c r="I21" s="544">
        <f t="shared" ref="I21:M21" si="42">+I22+I23+I24</f>
        <v>431562532.94999999</v>
      </c>
      <c r="J21" s="542">
        <f t="shared" si="42"/>
        <v>133452167</v>
      </c>
      <c r="K21" s="542">
        <f t="shared" si="42"/>
        <v>126331720.94999999</v>
      </c>
      <c r="L21" s="542">
        <f t="shared" si="42"/>
        <v>99463612</v>
      </c>
      <c r="M21" s="543">
        <f t="shared" si="42"/>
        <v>72315033</v>
      </c>
      <c r="N21" s="541">
        <f t="shared" ref="N21" si="43">+N22+N23+N24</f>
        <v>260678665.82999998</v>
      </c>
      <c r="O21" s="545">
        <f t="shared" si="6"/>
        <v>60.403068119431381</v>
      </c>
      <c r="P21" s="541">
        <f t="shared" ref="P21" si="44">+P22+P23+P24</f>
        <v>894777.87999999989</v>
      </c>
      <c r="Q21" s="545">
        <f t="shared" si="11"/>
        <v>0.89960324384760915</v>
      </c>
      <c r="R21" s="541">
        <f t="shared" si="20"/>
        <v>-98568834.120000005</v>
      </c>
      <c r="S21" s="2794"/>
      <c r="T21" s="537"/>
    </row>
    <row r="22" spans="1:25" s="547" customFormat="1" ht="13.5" hidden="1" customHeight="1" x14ac:dyDescent="0.2">
      <c r="A22" s="2790"/>
      <c r="B22" s="550" t="s">
        <v>12</v>
      </c>
      <c r="C22" s="2797"/>
      <c r="D22" s="559">
        <f t="shared" ref="D22:H22" si="45">+D41</f>
        <v>0</v>
      </c>
      <c r="E22" s="560">
        <f t="shared" si="45"/>
        <v>0</v>
      </c>
      <c r="F22" s="561">
        <f t="shared" si="45"/>
        <v>0</v>
      </c>
      <c r="G22" s="561">
        <f t="shared" si="45"/>
        <v>0</v>
      </c>
      <c r="H22" s="562">
        <f t="shared" si="45"/>
        <v>0</v>
      </c>
      <c r="I22" s="563">
        <f t="shared" ref="I22:M22" si="46">+I41</f>
        <v>0</v>
      </c>
      <c r="J22" s="561">
        <f t="shared" si="46"/>
        <v>0</v>
      </c>
      <c r="K22" s="561">
        <f t="shared" si="46"/>
        <v>0</v>
      </c>
      <c r="L22" s="561">
        <f t="shared" si="46"/>
        <v>0</v>
      </c>
      <c r="M22" s="562">
        <f t="shared" si="46"/>
        <v>0</v>
      </c>
      <c r="N22" s="560">
        <f t="shared" ref="N22" si="47">+N41</f>
        <v>0</v>
      </c>
      <c r="O22" s="560" t="e">
        <f t="shared" si="6"/>
        <v>#DIV/0!</v>
      </c>
      <c r="P22" s="560">
        <f t="shared" ref="P22" si="48">+P41</f>
        <v>0</v>
      </c>
      <c r="Q22" s="560" t="e">
        <f t="shared" si="11"/>
        <v>#DIV/0!</v>
      </c>
      <c r="R22" s="560">
        <f t="shared" si="20"/>
        <v>0</v>
      </c>
      <c r="S22" s="2794"/>
      <c r="T22" s="537"/>
    </row>
    <row r="23" spans="1:25" ht="13.5" customHeight="1" x14ac:dyDescent="0.2">
      <c r="A23" s="2790"/>
      <c r="B23" s="564" t="s">
        <v>14</v>
      </c>
      <c r="C23" s="2797"/>
      <c r="D23" s="551">
        <f t="shared" ref="D23:H23" si="49">+D371+D453</f>
        <v>15935157</v>
      </c>
      <c r="E23" s="551">
        <f t="shared" si="49"/>
        <v>6952731</v>
      </c>
      <c r="F23" s="552">
        <f t="shared" si="49"/>
        <v>8982426</v>
      </c>
      <c r="G23" s="553">
        <f t="shared" si="49"/>
        <v>0</v>
      </c>
      <c r="H23" s="554">
        <f t="shared" si="49"/>
        <v>0</v>
      </c>
      <c r="I23" s="552">
        <f t="shared" ref="I23:M23" si="50">+I371+I453</f>
        <v>15935017.43</v>
      </c>
      <c r="J23" s="553">
        <f t="shared" si="50"/>
        <v>6952595</v>
      </c>
      <c r="K23" s="553">
        <f t="shared" si="50"/>
        <v>8982422.4299999997</v>
      </c>
      <c r="L23" s="553">
        <f t="shared" si="50"/>
        <v>0</v>
      </c>
      <c r="M23" s="554">
        <f t="shared" si="50"/>
        <v>0</v>
      </c>
      <c r="N23" s="551">
        <f t="shared" ref="N23" si="51">+N371+N453</f>
        <v>15935017.43</v>
      </c>
      <c r="O23" s="555">
        <f t="shared" si="6"/>
        <v>99.999124137904644</v>
      </c>
      <c r="P23" s="556">
        <f t="shared" ref="P23" si="52">+P371+P453</f>
        <v>0</v>
      </c>
      <c r="Q23" s="555">
        <v>0</v>
      </c>
      <c r="R23" s="556">
        <f t="shared" si="20"/>
        <v>0</v>
      </c>
      <c r="S23" s="2794"/>
      <c r="T23" s="537"/>
    </row>
    <row r="24" spans="1:25" ht="13.5" customHeight="1" x14ac:dyDescent="0.2">
      <c r="A24" s="2790"/>
      <c r="B24" s="564" t="s">
        <v>15</v>
      </c>
      <c r="C24" s="2797"/>
      <c r="D24" s="551">
        <f t="shared" ref="D24:N24" si="53">+D42+D427</f>
        <v>415630116</v>
      </c>
      <c r="E24" s="556">
        <f t="shared" si="53"/>
        <v>126499572</v>
      </c>
      <c r="F24" s="553">
        <f t="shared" si="53"/>
        <v>117351899</v>
      </c>
      <c r="G24" s="553">
        <f t="shared" si="53"/>
        <v>99463612</v>
      </c>
      <c r="H24" s="554">
        <f t="shared" si="53"/>
        <v>72315033</v>
      </c>
      <c r="I24" s="552">
        <f t="shared" si="53"/>
        <v>415627515.51999998</v>
      </c>
      <c r="J24" s="553">
        <f t="shared" si="53"/>
        <v>126499572</v>
      </c>
      <c r="K24" s="553">
        <f t="shared" si="53"/>
        <v>117349298.52</v>
      </c>
      <c r="L24" s="553">
        <f t="shared" si="53"/>
        <v>99463612</v>
      </c>
      <c r="M24" s="554">
        <f t="shared" si="53"/>
        <v>72315033</v>
      </c>
      <c r="N24" s="556">
        <f t="shared" si="53"/>
        <v>244743648.39999998</v>
      </c>
      <c r="O24" s="555">
        <f t="shared" si="6"/>
        <v>58.884965015384005</v>
      </c>
      <c r="P24" s="556">
        <f>+P42+P427</f>
        <v>894777.87999999989</v>
      </c>
      <c r="Q24" s="555">
        <f t="shared" si="11"/>
        <v>0.89960324384760915</v>
      </c>
      <c r="R24" s="556">
        <f t="shared" si="20"/>
        <v>-98568834.120000005</v>
      </c>
      <c r="S24" s="2794"/>
      <c r="T24" s="537"/>
    </row>
    <row r="25" spans="1:25" x14ac:dyDescent="0.2">
      <c r="A25" s="2790"/>
      <c r="B25" s="565" t="s">
        <v>17</v>
      </c>
      <c r="C25" s="566"/>
      <c r="D25" s="567">
        <f t="shared" ref="D25:H25" si="54">+D26+D31</f>
        <v>578054406</v>
      </c>
      <c r="E25" s="568">
        <f t="shared" si="54"/>
        <v>157123923</v>
      </c>
      <c r="F25" s="569">
        <f t="shared" si="54"/>
        <v>166789533</v>
      </c>
      <c r="G25" s="569">
        <f t="shared" si="54"/>
        <v>143063338</v>
      </c>
      <c r="H25" s="570">
        <f t="shared" si="54"/>
        <v>111077612</v>
      </c>
      <c r="I25" s="571">
        <f t="shared" ref="I25:M25" si="55">+I26+I31</f>
        <v>577885961.95000005</v>
      </c>
      <c r="J25" s="569">
        <f t="shared" si="55"/>
        <v>157106076</v>
      </c>
      <c r="K25" s="569">
        <f t="shared" si="55"/>
        <v>166773253.94999999</v>
      </c>
      <c r="L25" s="569">
        <f t="shared" si="55"/>
        <v>142929020</v>
      </c>
      <c r="M25" s="570">
        <f t="shared" si="55"/>
        <v>111077612</v>
      </c>
      <c r="N25" s="568">
        <f t="shared" ref="N25" si="56">+N26+N31</f>
        <v>326911414.94999999</v>
      </c>
      <c r="O25" s="572">
        <f t="shared" si="6"/>
        <v>56.553745037971396</v>
      </c>
      <c r="P25" s="568">
        <f t="shared" ref="P25" si="57">+P26+P31</f>
        <v>3032085</v>
      </c>
      <c r="Q25" s="572">
        <f t="shared" si="11"/>
        <v>2.1194004294797035</v>
      </c>
      <c r="R25" s="568">
        <f t="shared" si="20"/>
        <v>-139896935</v>
      </c>
      <c r="S25" s="2794"/>
      <c r="T25" s="537"/>
      <c r="V25" s="573">
        <f>+P25-L25</f>
        <v>-139896935</v>
      </c>
      <c r="W25" s="538"/>
      <c r="X25" s="574"/>
      <c r="Y25" s="538"/>
    </row>
    <row r="26" spans="1:25" ht="13.5" customHeight="1" x14ac:dyDescent="0.2">
      <c r="A26" s="2790"/>
      <c r="B26" s="575" t="s">
        <v>18</v>
      </c>
      <c r="C26" s="2798"/>
      <c r="D26" s="576">
        <f t="shared" ref="D26:H26" si="58">+D27+D28+D29+D30</f>
        <v>146320827</v>
      </c>
      <c r="E26" s="577">
        <f t="shared" si="58"/>
        <v>71895903</v>
      </c>
      <c r="F26" s="578">
        <f t="shared" si="58"/>
        <v>31899168</v>
      </c>
      <c r="G26" s="578">
        <f t="shared" si="58"/>
        <v>13736395</v>
      </c>
      <c r="H26" s="579">
        <f t="shared" si="58"/>
        <v>28789361</v>
      </c>
      <c r="I26" s="580">
        <f t="shared" ref="I26:M26" si="59">+I27+I28+I29+I30</f>
        <v>146320826.94999999</v>
      </c>
      <c r="J26" s="578">
        <f t="shared" si="59"/>
        <v>71895903</v>
      </c>
      <c r="K26" s="578">
        <f t="shared" si="59"/>
        <v>31899167.949999999</v>
      </c>
      <c r="L26" s="578">
        <f t="shared" si="59"/>
        <v>13736395</v>
      </c>
      <c r="M26" s="579">
        <f t="shared" si="59"/>
        <v>28789361</v>
      </c>
      <c r="N26" s="577">
        <f t="shared" ref="N26" si="60">+N27+N28+N29+N30</f>
        <v>104584906.95</v>
      </c>
      <c r="O26" s="581">
        <f t="shared" si="6"/>
        <v>71.476432367348494</v>
      </c>
      <c r="P26" s="577">
        <f t="shared" ref="P26" si="61">+P27+P28+P29+P30</f>
        <v>789836</v>
      </c>
      <c r="Q26" s="581">
        <f t="shared" si="11"/>
        <v>5.7499511334669684</v>
      </c>
      <c r="R26" s="577">
        <f t="shared" si="20"/>
        <v>-12946559</v>
      </c>
      <c r="S26" s="2794"/>
      <c r="T26" s="537"/>
      <c r="W26" s="548"/>
      <c r="X26" s="549"/>
      <c r="Y26" s="548"/>
    </row>
    <row r="27" spans="1:25" ht="13.5" customHeight="1" x14ac:dyDescent="0.2">
      <c r="A27" s="2790"/>
      <c r="B27" s="557" t="s">
        <v>36</v>
      </c>
      <c r="C27" s="2799"/>
      <c r="D27" s="582">
        <f t="shared" ref="D27:H27" si="62">+D430</f>
        <v>14587500</v>
      </c>
      <c r="E27" s="582">
        <f t="shared" si="62"/>
        <v>0</v>
      </c>
      <c r="F27" s="583">
        <f t="shared" si="62"/>
        <v>0</v>
      </c>
      <c r="G27" s="584">
        <f t="shared" si="62"/>
        <v>0</v>
      </c>
      <c r="H27" s="585">
        <f t="shared" si="62"/>
        <v>14587500</v>
      </c>
      <c r="I27" s="583">
        <f t="shared" ref="I27:M27" si="63">+I430</f>
        <v>14587500</v>
      </c>
      <c r="J27" s="584">
        <f t="shared" si="63"/>
        <v>0</v>
      </c>
      <c r="K27" s="584">
        <f t="shared" si="63"/>
        <v>0</v>
      </c>
      <c r="L27" s="584">
        <f t="shared" si="63"/>
        <v>0</v>
      </c>
      <c r="M27" s="585">
        <f t="shared" si="63"/>
        <v>14587500</v>
      </c>
      <c r="N27" s="582">
        <f t="shared" ref="N27" si="64">+N430</f>
        <v>0</v>
      </c>
      <c r="O27" s="586">
        <f t="shared" si="6"/>
        <v>0</v>
      </c>
      <c r="P27" s="587">
        <f t="shared" ref="P27" si="65">+P430</f>
        <v>0</v>
      </c>
      <c r="Q27" s="586">
        <v>0</v>
      </c>
      <c r="R27" s="587">
        <f t="shared" si="20"/>
        <v>0</v>
      </c>
      <c r="S27" s="2794"/>
      <c r="T27" s="537"/>
    </row>
    <row r="28" spans="1:25" ht="12" customHeight="1" x14ac:dyDescent="0.2">
      <c r="A28" s="2790"/>
      <c r="B28" s="588" t="s">
        <v>10</v>
      </c>
      <c r="C28" s="2799"/>
      <c r="D28" s="551">
        <f t="shared" ref="D28:H28" si="66">+D45</f>
        <v>17213791</v>
      </c>
      <c r="E28" s="551">
        <f t="shared" si="66"/>
        <v>12750783</v>
      </c>
      <c r="F28" s="552">
        <f t="shared" si="66"/>
        <v>3663008</v>
      </c>
      <c r="G28" s="553">
        <f t="shared" si="66"/>
        <v>800000</v>
      </c>
      <c r="H28" s="554">
        <f t="shared" si="66"/>
        <v>0</v>
      </c>
      <c r="I28" s="552">
        <f t="shared" ref="I28:M28" si="67">+I45</f>
        <v>17213791</v>
      </c>
      <c r="J28" s="553">
        <f t="shared" si="67"/>
        <v>12750783</v>
      </c>
      <c r="K28" s="553">
        <f t="shared" si="67"/>
        <v>3663008</v>
      </c>
      <c r="L28" s="553">
        <f t="shared" si="67"/>
        <v>800000</v>
      </c>
      <c r="M28" s="554">
        <f t="shared" si="67"/>
        <v>0</v>
      </c>
      <c r="N28" s="551">
        <f t="shared" ref="N28" si="68">+N45</f>
        <v>16413791</v>
      </c>
      <c r="O28" s="589">
        <f t="shared" si="6"/>
        <v>95.352563534668221</v>
      </c>
      <c r="P28" s="556">
        <f t="shared" ref="P28" si="69">+P45</f>
        <v>0</v>
      </c>
      <c r="Q28" s="589">
        <f t="shared" si="11"/>
        <v>0</v>
      </c>
      <c r="R28" s="556">
        <f t="shared" si="20"/>
        <v>-800000</v>
      </c>
      <c r="S28" s="2794"/>
      <c r="T28" s="537"/>
    </row>
    <row r="29" spans="1:25" ht="12.75" customHeight="1" x14ac:dyDescent="0.2">
      <c r="A29" s="2790"/>
      <c r="B29" s="588" t="s">
        <v>37</v>
      </c>
      <c r="C29" s="2799"/>
      <c r="D29" s="551">
        <f t="shared" ref="D29:H29" si="70">+D431</f>
        <v>39488536</v>
      </c>
      <c r="E29" s="551">
        <f t="shared" si="70"/>
        <v>14488536</v>
      </c>
      <c r="F29" s="552">
        <f t="shared" si="70"/>
        <v>6250000</v>
      </c>
      <c r="G29" s="553">
        <f t="shared" si="70"/>
        <v>6250000</v>
      </c>
      <c r="H29" s="554">
        <f t="shared" si="70"/>
        <v>12500000</v>
      </c>
      <c r="I29" s="552">
        <f t="shared" ref="I29:M29" si="71">+I431</f>
        <v>39488536</v>
      </c>
      <c r="J29" s="553">
        <f t="shared" si="71"/>
        <v>14488536</v>
      </c>
      <c r="K29" s="553">
        <f t="shared" si="71"/>
        <v>6250000</v>
      </c>
      <c r="L29" s="553">
        <f t="shared" si="71"/>
        <v>6250000</v>
      </c>
      <c r="M29" s="554">
        <f t="shared" si="71"/>
        <v>12500000</v>
      </c>
      <c r="N29" s="551">
        <f t="shared" ref="N29" si="72">+N431</f>
        <v>20738536</v>
      </c>
      <c r="O29" s="589">
        <f t="shared" si="6"/>
        <v>52.517864931736135</v>
      </c>
      <c r="P29" s="556">
        <f t="shared" ref="P29" si="73">+P431</f>
        <v>0</v>
      </c>
      <c r="Q29" s="589">
        <f t="shared" si="11"/>
        <v>0</v>
      </c>
      <c r="R29" s="556">
        <f t="shared" si="20"/>
        <v>-6250000</v>
      </c>
      <c r="S29" s="2794"/>
      <c r="T29" s="537"/>
    </row>
    <row r="30" spans="1:25" ht="12.75" customHeight="1" x14ac:dyDescent="0.2">
      <c r="A30" s="2790"/>
      <c r="B30" s="550" t="s">
        <v>12</v>
      </c>
      <c r="C30" s="2799"/>
      <c r="D30" s="551">
        <f t="shared" ref="D30:H30" si="74">D46</f>
        <v>75031000</v>
      </c>
      <c r="E30" s="556">
        <f t="shared" si="74"/>
        <v>44656584</v>
      </c>
      <c r="F30" s="553">
        <f t="shared" si="74"/>
        <v>21986160</v>
      </c>
      <c r="G30" s="553">
        <f t="shared" si="74"/>
        <v>6686395</v>
      </c>
      <c r="H30" s="554">
        <f t="shared" si="74"/>
        <v>1701861</v>
      </c>
      <c r="I30" s="552">
        <f t="shared" ref="I30:M30" si="75">I46</f>
        <v>75030999.950000003</v>
      </c>
      <c r="J30" s="553">
        <f t="shared" si="75"/>
        <v>44656584</v>
      </c>
      <c r="K30" s="553">
        <f t="shared" si="75"/>
        <v>21986159.949999999</v>
      </c>
      <c r="L30" s="553">
        <f t="shared" si="75"/>
        <v>6686395</v>
      </c>
      <c r="M30" s="554">
        <f t="shared" si="75"/>
        <v>1701861</v>
      </c>
      <c r="N30" s="556">
        <f t="shared" ref="N30" si="76">N46</f>
        <v>67432579.950000003</v>
      </c>
      <c r="O30" s="589">
        <f t="shared" si="6"/>
        <v>89.872959110234447</v>
      </c>
      <c r="P30" s="556">
        <f t="shared" ref="P30" si="77">P46</f>
        <v>789836</v>
      </c>
      <c r="Q30" s="589">
        <f t="shared" si="11"/>
        <v>11.812583611946348</v>
      </c>
      <c r="R30" s="556">
        <f t="shared" si="20"/>
        <v>-5896559</v>
      </c>
      <c r="S30" s="2794"/>
      <c r="T30" s="537"/>
    </row>
    <row r="31" spans="1:25" ht="12.75" customHeight="1" x14ac:dyDescent="0.2">
      <c r="A31" s="2790"/>
      <c r="B31" s="590" t="s">
        <v>13</v>
      </c>
      <c r="C31" s="2799"/>
      <c r="D31" s="576">
        <f>+D32+D33</f>
        <v>431733579</v>
      </c>
      <c r="E31" s="576">
        <f t="shared" ref="E31:P31" si="78">+E32+E33</f>
        <v>85228020</v>
      </c>
      <c r="F31" s="580">
        <f t="shared" si="78"/>
        <v>134890365</v>
      </c>
      <c r="G31" s="578">
        <f t="shared" si="78"/>
        <v>129326943</v>
      </c>
      <c r="H31" s="579">
        <f t="shared" si="78"/>
        <v>82288251</v>
      </c>
      <c r="I31" s="580">
        <f t="shared" si="78"/>
        <v>431565135</v>
      </c>
      <c r="J31" s="578">
        <f t="shared" si="78"/>
        <v>85210173</v>
      </c>
      <c r="K31" s="578">
        <f t="shared" si="78"/>
        <v>134874086</v>
      </c>
      <c r="L31" s="578">
        <f t="shared" si="78"/>
        <v>129192625</v>
      </c>
      <c r="M31" s="579">
        <f t="shared" si="78"/>
        <v>82288251</v>
      </c>
      <c r="N31" s="576">
        <f t="shared" si="78"/>
        <v>222326508</v>
      </c>
      <c r="O31" s="591">
        <f t="shared" si="6"/>
        <v>51.496227954972206</v>
      </c>
      <c r="P31" s="577">
        <f t="shared" si="78"/>
        <v>2242249</v>
      </c>
      <c r="Q31" s="591">
        <f t="shared" si="11"/>
        <v>1.7337833462900303</v>
      </c>
      <c r="R31" s="577">
        <f t="shared" si="20"/>
        <v>-126950376</v>
      </c>
      <c r="S31" s="2794"/>
      <c r="T31" s="537"/>
    </row>
    <row r="32" spans="1:25" ht="13.5" customHeight="1" x14ac:dyDescent="0.2">
      <c r="A32" s="2790"/>
      <c r="B32" s="564" t="s">
        <v>14</v>
      </c>
      <c r="C32" s="2799"/>
      <c r="D32" s="551">
        <f t="shared" ref="D32:H32" si="79">+D374+D456</f>
        <v>16103463</v>
      </c>
      <c r="E32" s="551">
        <f t="shared" si="79"/>
        <v>1122112</v>
      </c>
      <c r="F32" s="552">
        <f t="shared" si="79"/>
        <v>2470677</v>
      </c>
      <c r="G32" s="553">
        <f t="shared" si="79"/>
        <v>12510674</v>
      </c>
      <c r="H32" s="554">
        <f t="shared" si="79"/>
        <v>0</v>
      </c>
      <c r="I32" s="552">
        <f t="shared" ref="I32:M32" si="80">+I374+I456</f>
        <v>15935018</v>
      </c>
      <c r="J32" s="553">
        <f t="shared" si="80"/>
        <v>1104265</v>
      </c>
      <c r="K32" s="553">
        <f t="shared" si="80"/>
        <v>2454397</v>
      </c>
      <c r="L32" s="553">
        <f t="shared" si="80"/>
        <v>12376356</v>
      </c>
      <c r="M32" s="554">
        <f t="shared" si="80"/>
        <v>0</v>
      </c>
      <c r="N32" s="551">
        <f t="shared" ref="N32" si="81">+N374+N456</f>
        <v>3633938</v>
      </c>
      <c r="O32" s="589">
        <f t="shared" si="6"/>
        <v>22.566189645047157</v>
      </c>
      <c r="P32" s="556">
        <f t="shared" ref="P32" si="82">+P374+P456</f>
        <v>75276</v>
      </c>
      <c r="Q32" s="589">
        <f t="shared" si="11"/>
        <v>0.60169420128763651</v>
      </c>
      <c r="R32" s="556">
        <f t="shared" si="20"/>
        <v>-12301080</v>
      </c>
      <c r="S32" s="2794"/>
      <c r="T32" s="537"/>
    </row>
    <row r="33" spans="1:25" ht="13.5" thickBot="1" x14ac:dyDescent="0.25">
      <c r="A33" s="2791"/>
      <c r="B33" s="592" t="s">
        <v>15</v>
      </c>
      <c r="C33" s="2800"/>
      <c r="D33" s="593">
        <f t="shared" ref="D33:N33" si="83">+D49+D433</f>
        <v>415630116</v>
      </c>
      <c r="E33" s="594">
        <f t="shared" si="83"/>
        <v>84105908</v>
      </c>
      <c r="F33" s="595">
        <f t="shared" si="83"/>
        <v>132419688</v>
      </c>
      <c r="G33" s="595">
        <f t="shared" si="83"/>
        <v>116816269</v>
      </c>
      <c r="H33" s="596">
        <f t="shared" si="83"/>
        <v>82288251</v>
      </c>
      <c r="I33" s="597">
        <f t="shared" si="83"/>
        <v>415630117</v>
      </c>
      <c r="J33" s="595">
        <f t="shared" si="83"/>
        <v>84105908</v>
      </c>
      <c r="K33" s="595">
        <f t="shared" si="83"/>
        <v>132419689</v>
      </c>
      <c r="L33" s="595">
        <f t="shared" si="83"/>
        <v>116816269</v>
      </c>
      <c r="M33" s="596">
        <f t="shared" si="83"/>
        <v>82288251</v>
      </c>
      <c r="N33" s="594">
        <f t="shared" si="83"/>
        <v>218692570</v>
      </c>
      <c r="O33" s="598">
        <f t="shared" si="6"/>
        <v>52.617113529857882</v>
      </c>
      <c r="P33" s="594">
        <f>+P49+P433</f>
        <v>2166973</v>
      </c>
      <c r="Q33" s="598">
        <f t="shared" si="11"/>
        <v>1.8550267172117951</v>
      </c>
      <c r="R33" s="594">
        <f t="shared" si="20"/>
        <v>-114649296</v>
      </c>
      <c r="S33" s="2795"/>
      <c r="T33" s="537"/>
    </row>
    <row r="34" spans="1:25" ht="18" customHeight="1" x14ac:dyDescent="0.2">
      <c r="A34" s="2801" t="s">
        <v>38</v>
      </c>
      <c r="B34" s="599" t="s">
        <v>39</v>
      </c>
      <c r="C34" s="600"/>
      <c r="D34" s="601"/>
      <c r="E34" s="602"/>
      <c r="F34" s="602"/>
      <c r="G34" s="603"/>
      <c r="H34" s="604"/>
      <c r="I34" s="601"/>
      <c r="J34" s="603"/>
      <c r="K34" s="603"/>
      <c r="L34" s="603"/>
      <c r="M34" s="604"/>
      <c r="N34" s="601"/>
      <c r="O34" s="605"/>
      <c r="P34" s="603"/>
      <c r="Q34" s="605"/>
      <c r="R34" s="603"/>
      <c r="S34" s="2804"/>
    </row>
    <row r="35" spans="1:25" ht="13.5" customHeight="1" x14ac:dyDescent="0.2">
      <c r="A35" s="2802"/>
      <c r="B35" s="606" t="s">
        <v>3</v>
      </c>
      <c r="C35" s="607"/>
      <c r="D35" s="608">
        <f t="shared" ref="D35:N35" si="84">+D36+D40</f>
        <v>557782647</v>
      </c>
      <c r="E35" s="609">
        <f t="shared" si="84"/>
        <v>236123294</v>
      </c>
      <c r="F35" s="610">
        <f t="shared" si="84"/>
        <v>157832713</v>
      </c>
      <c r="G35" s="610">
        <f t="shared" si="84"/>
        <v>129197415</v>
      </c>
      <c r="H35" s="611">
        <f t="shared" si="84"/>
        <v>34629225</v>
      </c>
      <c r="I35" s="612">
        <f t="shared" si="84"/>
        <v>557782645.19000006</v>
      </c>
      <c r="J35" s="610">
        <f t="shared" si="84"/>
        <v>236123294</v>
      </c>
      <c r="K35" s="610">
        <f>+K36+K40</f>
        <v>157832711.19</v>
      </c>
      <c r="L35" s="610">
        <f t="shared" si="84"/>
        <v>129197415</v>
      </c>
      <c r="M35" s="611">
        <f t="shared" si="84"/>
        <v>34629225</v>
      </c>
      <c r="N35" s="608">
        <f t="shared" si="84"/>
        <v>396481932.88999999</v>
      </c>
      <c r="O35" s="613">
        <f t="shared" si="6"/>
        <v>71.08179772577256</v>
      </c>
      <c r="P35" s="609">
        <f>+P36+P40</f>
        <v>2525927.7000000002</v>
      </c>
      <c r="Q35" s="613">
        <f t="shared" si="11"/>
        <v>1.9550915163434193</v>
      </c>
      <c r="R35" s="609">
        <f t="shared" si="20"/>
        <v>-126671487.3</v>
      </c>
      <c r="S35" s="2805"/>
      <c r="T35" s="537"/>
      <c r="V35" s="573">
        <f>+P35-L35</f>
        <v>-126671487.3</v>
      </c>
      <c r="W35" s="537">
        <f>+N51+N65+N81+N95+N111+N127+N153+N162+N174+N183+N192+N204+N216+N225+N237+N246+N258+N267+N276+N285+N141+N294+N303+N312+N321+N330+N339+N348</f>
        <v>396481932.88999999</v>
      </c>
      <c r="Y35" s="537" t="e">
        <f>#REF!+P51+P65+P81+P95+P111+P127+P153+P162+P174+P183+P192+P204+P216+P225+P237+P246+P258+P267+P276+P285+P141+P294+P303+P312+P321+P330+P339+P348</f>
        <v>#REF!</v>
      </c>
    </row>
    <row r="36" spans="1:25" s="547" customFormat="1" ht="13.5" customHeight="1" x14ac:dyDescent="0.2">
      <c r="A36" s="2802"/>
      <c r="B36" s="614" t="s">
        <v>18</v>
      </c>
      <c r="C36" s="615"/>
      <c r="D36" s="616">
        <f t="shared" ref="D36:N36" si="85">+D37+D38+D39</f>
        <v>212152531</v>
      </c>
      <c r="E36" s="616">
        <f t="shared" si="85"/>
        <v>109623722</v>
      </c>
      <c r="F36" s="617">
        <f t="shared" si="85"/>
        <v>40480814</v>
      </c>
      <c r="G36" s="617">
        <f t="shared" si="85"/>
        <v>49733803</v>
      </c>
      <c r="H36" s="618">
        <f t="shared" si="85"/>
        <v>12314192</v>
      </c>
      <c r="I36" s="619">
        <f t="shared" si="85"/>
        <v>212155129.67000002</v>
      </c>
      <c r="J36" s="617">
        <f t="shared" si="85"/>
        <v>109623722</v>
      </c>
      <c r="K36" s="617">
        <f>+K37+K38+K39</f>
        <v>40483412.670000002</v>
      </c>
      <c r="L36" s="617">
        <f t="shared" si="85"/>
        <v>49733803</v>
      </c>
      <c r="M36" s="618">
        <f t="shared" si="85"/>
        <v>12314192</v>
      </c>
      <c r="N36" s="620">
        <f t="shared" si="85"/>
        <v>151738284.49000001</v>
      </c>
      <c r="O36" s="621">
        <f t="shared" si="6"/>
        <v>71.523202563159614</v>
      </c>
      <c r="P36" s="616">
        <f>+P37+P38+P39</f>
        <v>1631149.82</v>
      </c>
      <c r="Q36" s="621">
        <f t="shared" si="11"/>
        <v>3.2797608901937383</v>
      </c>
      <c r="R36" s="616">
        <f t="shared" si="20"/>
        <v>-48102653.18</v>
      </c>
      <c r="S36" s="2805"/>
      <c r="T36" s="537"/>
    </row>
    <row r="37" spans="1:25" ht="13.5" customHeight="1" x14ac:dyDescent="0.2">
      <c r="A37" s="2802"/>
      <c r="B37" s="622" t="s">
        <v>5</v>
      </c>
      <c r="C37" s="623"/>
      <c r="D37" s="624">
        <f t="shared" ref="D37:N37" si="86">+D155+D164+D53+D176+D185+D67+D83+D194+D206+D218+D97+D227+D239+D248+D260++D269+D113+D278+D129+D287+D143+D296+D305+D314+D323++D332+D341+D350</f>
        <v>120707740</v>
      </c>
      <c r="E37" s="625">
        <f t="shared" si="86"/>
        <v>39807903</v>
      </c>
      <c r="F37" s="626">
        <f t="shared" si="86"/>
        <v>21653452</v>
      </c>
      <c r="G37" s="626">
        <f t="shared" si="86"/>
        <v>47914347</v>
      </c>
      <c r="H37" s="627">
        <f t="shared" si="86"/>
        <v>11332038</v>
      </c>
      <c r="I37" s="628">
        <f t="shared" si="86"/>
        <v>120710338.59000002</v>
      </c>
      <c r="J37" s="626">
        <f t="shared" si="86"/>
        <v>39807903</v>
      </c>
      <c r="K37" s="626">
        <f t="shared" si="86"/>
        <v>21656050.59</v>
      </c>
      <c r="L37" s="626">
        <f t="shared" si="86"/>
        <v>47914347</v>
      </c>
      <c r="M37" s="627">
        <f t="shared" si="86"/>
        <v>11332038</v>
      </c>
      <c r="N37" s="624">
        <f t="shared" si="86"/>
        <v>63075691.150000013</v>
      </c>
      <c r="O37" s="629">
        <f t="shared" si="6"/>
        <v>52.254885353664996</v>
      </c>
      <c r="P37" s="625">
        <f>+P155+P164+P53+P176+P185+P67+P83+P194+P206+P218+P97+P227+P239+P248+P260++P269+P113+P278+P129+P287+P143+P296+P305+P314+P323++P332+P341+P350</f>
        <v>1611737.56</v>
      </c>
      <c r="Q37" s="629">
        <f t="shared" si="11"/>
        <v>3.3637890546645663</v>
      </c>
      <c r="R37" s="625">
        <f t="shared" si="20"/>
        <v>-46302609.439999998</v>
      </c>
      <c r="S37" s="2805"/>
      <c r="T37" s="537"/>
      <c r="W37" s="537">
        <f>N53+N67+N83+N97+N113+N129+N155+N164+N176+N185+N194+N206+N218+N227+N239+N248+N260+N269+N278+N287+N143+N296+N305+N314+N323+N332+N341+N350</f>
        <v>63075691.149999999</v>
      </c>
      <c r="X37" s="537"/>
      <c r="Y37" s="537">
        <f>P53+P67+P83+P97+P113+P129+P155+P164+P176+P185+P194+P206+P218+P227+P239+P248+P260+P269+P278+P287+P143+P296+P305+P314+P323+P332+P341+P350</f>
        <v>1611737.56</v>
      </c>
    </row>
    <row r="38" spans="1:25" ht="13.5" customHeight="1" x14ac:dyDescent="0.2">
      <c r="A38" s="2802"/>
      <c r="B38" s="630" t="s">
        <v>10</v>
      </c>
      <c r="C38" s="623"/>
      <c r="D38" s="624">
        <f t="shared" ref="D38:N38" si="87">+D165+D195+D351+D207+D228+D68+D249+D114+D98</f>
        <v>16413791</v>
      </c>
      <c r="E38" s="625">
        <f t="shared" si="87"/>
        <v>12750783</v>
      </c>
      <c r="F38" s="626">
        <f t="shared" si="87"/>
        <v>3663008</v>
      </c>
      <c r="G38" s="631">
        <f t="shared" si="87"/>
        <v>0</v>
      </c>
      <c r="H38" s="632">
        <f t="shared" si="87"/>
        <v>0</v>
      </c>
      <c r="I38" s="628">
        <f t="shared" si="87"/>
        <v>16413791.07</v>
      </c>
      <c r="J38" s="626">
        <f t="shared" si="87"/>
        <v>12750783</v>
      </c>
      <c r="K38" s="626">
        <f t="shared" si="87"/>
        <v>3663008.07</v>
      </c>
      <c r="L38" s="626">
        <f t="shared" si="87"/>
        <v>0</v>
      </c>
      <c r="M38" s="627">
        <f t="shared" si="87"/>
        <v>0</v>
      </c>
      <c r="N38" s="624">
        <f t="shared" si="87"/>
        <v>16413791.07</v>
      </c>
      <c r="O38" s="629">
        <f t="shared" si="6"/>
        <v>100.00000042647063</v>
      </c>
      <c r="P38" s="633">
        <f>+P165+P195+P351+P207+P228+P68+P249+P114+P98</f>
        <v>0</v>
      </c>
      <c r="Q38" s="631">
        <v>0</v>
      </c>
      <c r="R38" s="625">
        <f t="shared" si="20"/>
        <v>0</v>
      </c>
      <c r="S38" s="2805"/>
      <c r="T38" s="537"/>
    </row>
    <row r="39" spans="1:25" ht="13.5" customHeight="1" x14ac:dyDescent="0.2">
      <c r="A39" s="2802"/>
      <c r="B39" s="630" t="s">
        <v>12</v>
      </c>
      <c r="C39" s="623"/>
      <c r="D39" s="624">
        <f>D54+D69+D84+D99+D115+D130+D144</f>
        <v>75031000</v>
      </c>
      <c r="E39" s="624">
        <f t="shared" ref="E39:P39" si="88">E54+E69+E84+E99+E115+E130+E144</f>
        <v>57065036</v>
      </c>
      <c r="F39" s="628">
        <f t="shared" si="88"/>
        <v>15164354</v>
      </c>
      <c r="G39" s="626">
        <f t="shared" si="88"/>
        <v>1819456</v>
      </c>
      <c r="H39" s="627">
        <f t="shared" si="88"/>
        <v>982154</v>
      </c>
      <c r="I39" s="628">
        <f t="shared" si="88"/>
        <v>75031000.010000005</v>
      </c>
      <c r="J39" s="626">
        <f t="shared" si="88"/>
        <v>57065036</v>
      </c>
      <c r="K39" s="626">
        <f t="shared" si="88"/>
        <v>15164354.01</v>
      </c>
      <c r="L39" s="626">
        <f t="shared" si="88"/>
        <v>1819456</v>
      </c>
      <c r="M39" s="627">
        <f>M54+M69+M84+M99+M115+M130+M144</f>
        <v>982154</v>
      </c>
      <c r="N39" s="624">
        <f>N54+N69+N84+N99+N115+N130+N144</f>
        <v>72248802.270000011</v>
      </c>
      <c r="O39" s="629">
        <f t="shared" si="6"/>
        <v>96.291935693246813</v>
      </c>
      <c r="P39" s="625">
        <f t="shared" si="88"/>
        <v>19412.259999999998</v>
      </c>
      <c r="Q39" s="629">
        <f t="shared" si="11"/>
        <v>1.0669265978402336</v>
      </c>
      <c r="R39" s="625">
        <f t="shared" si="20"/>
        <v>-1800043.74</v>
      </c>
      <c r="S39" s="2805"/>
      <c r="T39" s="537"/>
    </row>
    <row r="40" spans="1:25" s="547" customFormat="1" ht="13.5" customHeight="1" x14ac:dyDescent="0.2">
      <c r="A40" s="2802"/>
      <c r="B40" s="634" t="s">
        <v>13</v>
      </c>
      <c r="C40" s="623"/>
      <c r="D40" s="635">
        <f t="shared" ref="D40:N40" si="89">+D41+D42</f>
        <v>345630116</v>
      </c>
      <c r="E40" s="636">
        <f t="shared" si="89"/>
        <v>126499572</v>
      </c>
      <c r="F40" s="637">
        <f t="shared" si="89"/>
        <v>117351899</v>
      </c>
      <c r="G40" s="637">
        <f t="shared" si="89"/>
        <v>79463612</v>
      </c>
      <c r="H40" s="638">
        <f t="shared" si="89"/>
        <v>22315033</v>
      </c>
      <c r="I40" s="639">
        <f t="shared" si="89"/>
        <v>345627515.51999998</v>
      </c>
      <c r="J40" s="637">
        <f t="shared" si="89"/>
        <v>126499572</v>
      </c>
      <c r="K40" s="637">
        <f t="shared" si="89"/>
        <v>117349298.52</v>
      </c>
      <c r="L40" s="637">
        <f t="shared" si="89"/>
        <v>79463612</v>
      </c>
      <c r="M40" s="638">
        <f t="shared" si="89"/>
        <v>22315033</v>
      </c>
      <c r="N40" s="635">
        <f t="shared" si="89"/>
        <v>244743648.39999998</v>
      </c>
      <c r="O40" s="640">
        <f t="shared" si="6"/>
        <v>70.810857350173734</v>
      </c>
      <c r="P40" s="636">
        <f>+P41+P42</f>
        <v>894777.87999999989</v>
      </c>
      <c r="Q40" s="640">
        <f t="shared" si="11"/>
        <v>1.1260221596773123</v>
      </c>
      <c r="R40" s="636">
        <f t="shared" si="20"/>
        <v>-78568834.120000005</v>
      </c>
      <c r="S40" s="2805"/>
      <c r="T40" s="537"/>
    </row>
    <row r="41" spans="1:25" s="547" customFormat="1" ht="13.5" hidden="1" customHeight="1" x14ac:dyDescent="0.2">
      <c r="A41" s="2802"/>
      <c r="B41" s="630" t="s">
        <v>12</v>
      </c>
      <c r="C41" s="623"/>
      <c r="D41" s="641">
        <f>+D56+D71+D86+D101+D117+D132</f>
        <v>0</v>
      </c>
      <c r="E41" s="642">
        <f>+E56+E71+E86+E101+E117+E132</f>
        <v>0</v>
      </c>
      <c r="F41" s="643">
        <f>+F56+F71+F86+F101+F117+F132</f>
        <v>0</v>
      </c>
      <c r="G41" s="643">
        <f>+G56+G71+G86+G101+G117+G132</f>
        <v>0</v>
      </c>
      <c r="H41" s="644">
        <f>+H56+H71+H86+H101+H117+H132</f>
        <v>0</v>
      </c>
      <c r="I41" s="645">
        <f t="shared" ref="I41:N41" si="90">+I56+I71+I86+I101+I117+I132</f>
        <v>0</v>
      </c>
      <c r="J41" s="643">
        <f t="shared" si="90"/>
        <v>0</v>
      </c>
      <c r="K41" s="643">
        <f t="shared" si="90"/>
        <v>0</v>
      </c>
      <c r="L41" s="643">
        <f t="shared" si="90"/>
        <v>0</v>
      </c>
      <c r="M41" s="644">
        <f t="shared" si="90"/>
        <v>0</v>
      </c>
      <c r="N41" s="641">
        <f t="shared" si="90"/>
        <v>0</v>
      </c>
      <c r="O41" s="643" t="e">
        <f t="shared" si="6"/>
        <v>#DIV/0!</v>
      </c>
      <c r="P41" s="642">
        <f>+P56+P71+P86+P101+P117+P132</f>
        <v>0</v>
      </c>
      <c r="Q41" s="643" t="e">
        <f t="shared" si="11"/>
        <v>#DIV/0!</v>
      </c>
      <c r="R41" s="642">
        <f t="shared" si="20"/>
        <v>0</v>
      </c>
      <c r="S41" s="2805"/>
      <c r="T41" s="537"/>
    </row>
    <row r="42" spans="1:25" ht="13.5" customHeight="1" x14ac:dyDescent="0.2">
      <c r="A42" s="2802"/>
      <c r="B42" s="622" t="s">
        <v>15</v>
      </c>
      <c r="C42" s="623"/>
      <c r="D42" s="646">
        <f>+D157+D167+D57+D178+D187+D72+D87+D197+D209+D220+D102+D230+D241+D251+D262+D271+D118+D280+D133+D289+D146+D298+D307+D316+D325+D334+D343+D353+D362</f>
        <v>345630116</v>
      </c>
      <c r="E42" s="646">
        <f t="shared" ref="E42:P42" si="91">+E157+E167+E57+E178+E187+E72+E87+E197+E209+E220+E102+E230+E241+E251+E262+E271+E118+E280+E133+E289+E146+E298+E307+E316+E325+E334+E343+E353+E362</f>
        <v>126499572</v>
      </c>
      <c r="F42" s="647">
        <f t="shared" si="91"/>
        <v>117351899</v>
      </c>
      <c r="G42" s="648">
        <f t="shared" si="91"/>
        <v>79463612</v>
      </c>
      <c r="H42" s="649">
        <f t="shared" si="91"/>
        <v>22315033</v>
      </c>
      <c r="I42" s="647">
        <f t="shared" si="91"/>
        <v>345627515.51999998</v>
      </c>
      <c r="J42" s="648">
        <f t="shared" si="91"/>
        <v>126499572</v>
      </c>
      <c r="K42" s="648">
        <f t="shared" si="91"/>
        <v>117349298.52</v>
      </c>
      <c r="L42" s="648">
        <f t="shared" si="91"/>
        <v>79463612</v>
      </c>
      <c r="M42" s="649">
        <f t="shared" si="91"/>
        <v>22315033</v>
      </c>
      <c r="N42" s="646">
        <f t="shared" si="91"/>
        <v>244743648.39999998</v>
      </c>
      <c r="O42" s="650">
        <f t="shared" si="6"/>
        <v>70.810857350173734</v>
      </c>
      <c r="P42" s="651">
        <f t="shared" si="91"/>
        <v>894777.87999999989</v>
      </c>
      <c r="Q42" s="650">
        <f t="shared" si="11"/>
        <v>1.1260221596773123</v>
      </c>
      <c r="R42" s="651">
        <f t="shared" si="20"/>
        <v>-78568834.120000005</v>
      </c>
      <c r="S42" s="2805"/>
      <c r="T42" s="537"/>
      <c r="V42" s="537">
        <f>I45-I38</f>
        <v>799999.9299999997</v>
      </c>
    </row>
    <row r="43" spans="1:25" ht="13.5" customHeight="1" x14ac:dyDescent="0.2">
      <c r="A43" s="2802"/>
      <c r="B43" s="606" t="s">
        <v>17</v>
      </c>
      <c r="C43" s="607"/>
      <c r="D43" s="608">
        <f t="shared" ref="D43:N43" si="92">+D44+D47</f>
        <v>437874907</v>
      </c>
      <c r="E43" s="609">
        <f t="shared" si="92"/>
        <v>141513275</v>
      </c>
      <c r="F43" s="610">
        <f t="shared" si="92"/>
        <v>158068856</v>
      </c>
      <c r="G43" s="610">
        <f t="shared" si="92"/>
        <v>104302664</v>
      </c>
      <c r="H43" s="611">
        <f t="shared" si="92"/>
        <v>33990112</v>
      </c>
      <c r="I43" s="612">
        <f t="shared" si="92"/>
        <v>437874907.94999999</v>
      </c>
      <c r="J43" s="610">
        <f t="shared" si="92"/>
        <v>141513275</v>
      </c>
      <c r="K43" s="610">
        <f t="shared" si="92"/>
        <v>158068856.94999999</v>
      </c>
      <c r="L43" s="610">
        <f t="shared" si="92"/>
        <v>104302664</v>
      </c>
      <c r="M43" s="611">
        <f t="shared" si="92"/>
        <v>33990112</v>
      </c>
      <c r="N43" s="608">
        <f t="shared" si="92"/>
        <v>302538940.94999999</v>
      </c>
      <c r="O43" s="613">
        <f t="shared" si="6"/>
        <v>69.092550432445762</v>
      </c>
      <c r="P43" s="609">
        <f>+P44+P47</f>
        <v>2956809</v>
      </c>
      <c r="Q43" s="613">
        <f t="shared" si="11"/>
        <v>2.8348355512760439</v>
      </c>
      <c r="R43" s="609">
        <f t="shared" si="20"/>
        <v>-101345855</v>
      </c>
      <c r="S43" s="2805"/>
      <c r="T43" s="537"/>
      <c r="V43" s="573">
        <f>+P43-L43</f>
        <v>-101345855</v>
      </c>
    </row>
    <row r="44" spans="1:25" ht="13.5" customHeight="1" x14ac:dyDescent="0.2">
      <c r="A44" s="2802"/>
      <c r="B44" s="652" t="s">
        <v>18</v>
      </c>
      <c r="C44" s="615"/>
      <c r="D44" s="653">
        <f>+D45+D46</f>
        <v>92244791</v>
      </c>
      <c r="E44" s="654">
        <f>+E45+E46</f>
        <v>57407367</v>
      </c>
      <c r="F44" s="655">
        <f>+F45+F46</f>
        <v>25649168</v>
      </c>
      <c r="G44" s="655">
        <f>+G45+G46</f>
        <v>7486395</v>
      </c>
      <c r="H44" s="656">
        <f>+H45+H46</f>
        <v>1701861</v>
      </c>
      <c r="I44" s="657">
        <f t="shared" ref="I44:P44" si="93">+I45+I46</f>
        <v>92244790.950000003</v>
      </c>
      <c r="J44" s="655">
        <f t="shared" si="93"/>
        <v>57407367</v>
      </c>
      <c r="K44" s="655">
        <f t="shared" si="93"/>
        <v>25649167.949999999</v>
      </c>
      <c r="L44" s="655">
        <f t="shared" si="93"/>
        <v>7486395</v>
      </c>
      <c r="M44" s="656">
        <f t="shared" si="93"/>
        <v>1701861</v>
      </c>
      <c r="N44" s="653">
        <f t="shared" si="93"/>
        <v>83846370.950000003</v>
      </c>
      <c r="O44" s="658">
        <f t="shared" si="6"/>
        <v>90.895507530609507</v>
      </c>
      <c r="P44" s="654">
        <f t="shared" si="93"/>
        <v>789836</v>
      </c>
      <c r="Q44" s="658">
        <f t="shared" si="11"/>
        <v>10.550284883445237</v>
      </c>
      <c r="R44" s="654">
        <f t="shared" si="20"/>
        <v>-6696559</v>
      </c>
      <c r="S44" s="2805"/>
      <c r="T44" s="537"/>
    </row>
    <row r="45" spans="1:25" ht="13.5" customHeight="1" x14ac:dyDescent="0.2">
      <c r="A45" s="2802"/>
      <c r="B45" s="659" t="s">
        <v>10</v>
      </c>
      <c r="C45" s="623"/>
      <c r="D45" s="646">
        <f t="shared" ref="D45:N45" si="94">+D170+D200+D356+D212+D233+D254+D75+D121+D105</f>
        <v>17213791</v>
      </c>
      <c r="E45" s="651">
        <f t="shared" si="94"/>
        <v>12750783</v>
      </c>
      <c r="F45" s="648">
        <f t="shared" si="94"/>
        <v>3663008</v>
      </c>
      <c r="G45" s="648">
        <f t="shared" si="94"/>
        <v>800000</v>
      </c>
      <c r="H45" s="649">
        <f t="shared" si="94"/>
        <v>0</v>
      </c>
      <c r="I45" s="647">
        <f t="shared" si="94"/>
        <v>17213791</v>
      </c>
      <c r="J45" s="648">
        <f t="shared" si="94"/>
        <v>12750783</v>
      </c>
      <c r="K45" s="648">
        <f t="shared" si="94"/>
        <v>3663008</v>
      </c>
      <c r="L45" s="648">
        <f t="shared" si="94"/>
        <v>800000</v>
      </c>
      <c r="M45" s="649">
        <f t="shared" si="94"/>
        <v>0</v>
      </c>
      <c r="N45" s="646">
        <f t="shared" si="94"/>
        <v>16413791</v>
      </c>
      <c r="O45" s="650">
        <f t="shared" si="6"/>
        <v>95.352563534668221</v>
      </c>
      <c r="P45" s="651">
        <f>+P170+P200+P356+P212+P233+P254+P75+P121+P105</f>
        <v>0</v>
      </c>
      <c r="Q45" s="650">
        <f t="shared" si="11"/>
        <v>0</v>
      </c>
      <c r="R45" s="651">
        <f t="shared" si="20"/>
        <v>-800000</v>
      </c>
      <c r="S45" s="2805"/>
      <c r="T45" s="537"/>
    </row>
    <row r="46" spans="1:25" ht="13.5" customHeight="1" x14ac:dyDescent="0.2">
      <c r="A46" s="2802"/>
      <c r="B46" s="630" t="s">
        <v>12</v>
      </c>
      <c r="C46" s="623"/>
      <c r="D46" s="646">
        <f>D60+D76+D90+D106+D122+D136+D149</f>
        <v>75031000</v>
      </c>
      <c r="E46" s="646">
        <f t="shared" ref="E46:N46" si="95">E60+E76+E90+E106+E122+E136+E149</f>
        <v>44656584</v>
      </c>
      <c r="F46" s="647">
        <f t="shared" si="95"/>
        <v>21986160</v>
      </c>
      <c r="G46" s="648">
        <f t="shared" si="95"/>
        <v>6686395</v>
      </c>
      <c r="H46" s="649">
        <f t="shared" si="95"/>
        <v>1701861</v>
      </c>
      <c r="I46" s="647">
        <f t="shared" si="95"/>
        <v>75030999.950000003</v>
      </c>
      <c r="J46" s="648">
        <f t="shared" si="95"/>
        <v>44656584</v>
      </c>
      <c r="K46" s="648">
        <f t="shared" si="95"/>
        <v>21986159.949999999</v>
      </c>
      <c r="L46" s="648">
        <f t="shared" si="95"/>
        <v>6686395</v>
      </c>
      <c r="M46" s="649">
        <f t="shared" si="95"/>
        <v>1701861</v>
      </c>
      <c r="N46" s="648">
        <f t="shared" si="95"/>
        <v>67432579.950000003</v>
      </c>
      <c r="O46" s="650">
        <f t="shared" si="6"/>
        <v>89.872959110234447</v>
      </c>
      <c r="P46" s="651">
        <f>P60+P76+P90+P106+P122+P136+P149</f>
        <v>789836</v>
      </c>
      <c r="Q46" s="650">
        <f t="shared" si="11"/>
        <v>11.812583611946348</v>
      </c>
      <c r="R46" s="651">
        <f t="shared" si="20"/>
        <v>-5896559</v>
      </c>
      <c r="S46" s="2805"/>
      <c r="T46" s="537"/>
    </row>
    <row r="47" spans="1:25" ht="12" customHeight="1" x14ac:dyDescent="0.2">
      <c r="A47" s="2802"/>
      <c r="B47" s="660" t="s">
        <v>13</v>
      </c>
      <c r="C47" s="623"/>
      <c r="D47" s="661">
        <f t="shared" ref="D47:N47" si="96">+D48+D49</f>
        <v>345630116</v>
      </c>
      <c r="E47" s="662">
        <f t="shared" si="96"/>
        <v>84105908</v>
      </c>
      <c r="F47" s="663">
        <f t="shared" si="96"/>
        <v>132419688</v>
      </c>
      <c r="G47" s="663">
        <f t="shared" si="96"/>
        <v>96816269</v>
      </c>
      <c r="H47" s="664">
        <f t="shared" si="96"/>
        <v>32288251</v>
      </c>
      <c r="I47" s="665">
        <f t="shared" si="96"/>
        <v>345630117</v>
      </c>
      <c r="J47" s="663">
        <f t="shared" si="96"/>
        <v>84105908</v>
      </c>
      <c r="K47" s="663">
        <f t="shared" si="96"/>
        <v>132419689</v>
      </c>
      <c r="L47" s="663">
        <f t="shared" si="96"/>
        <v>96816269</v>
      </c>
      <c r="M47" s="664">
        <f t="shared" si="96"/>
        <v>32288251</v>
      </c>
      <c r="N47" s="661">
        <f t="shared" si="96"/>
        <v>218692570</v>
      </c>
      <c r="O47" s="666">
        <f t="shared" si="6"/>
        <v>63.273586379261005</v>
      </c>
      <c r="P47" s="662">
        <f>+P48+P49</f>
        <v>2166973</v>
      </c>
      <c r="Q47" s="666">
        <f t="shared" si="11"/>
        <v>2.2382322954419984</v>
      </c>
      <c r="R47" s="662">
        <f t="shared" si="20"/>
        <v>-94649296</v>
      </c>
      <c r="S47" s="2805"/>
      <c r="T47" s="537"/>
    </row>
    <row r="48" spans="1:25" ht="12" hidden="1" customHeight="1" x14ac:dyDescent="0.2">
      <c r="A48" s="2802"/>
      <c r="B48" s="630" t="s">
        <v>12</v>
      </c>
      <c r="C48" s="623"/>
      <c r="D48" s="641">
        <f t="shared" ref="D48:N48" si="97">+D62+D78+D92+D108+D124+D138</f>
        <v>0</v>
      </c>
      <c r="E48" s="642">
        <f t="shared" si="97"/>
        <v>0</v>
      </c>
      <c r="F48" s="643">
        <f t="shared" si="97"/>
        <v>0</v>
      </c>
      <c r="G48" s="643">
        <f t="shared" si="97"/>
        <v>0</v>
      </c>
      <c r="H48" s="644">
        <f t="shared" si="97"/>
        <v>0</v>
      </c>
      <c r="I48" s="645">
        <f t="shared" si="97"/>
        <v>0</v>
      </c>
      <c r="J48" s="643">
        <f t="shared" si="97"/>
        <v>0</v>
      </c>
      <c r="K48" s="643">
        <f t="shared" si="97"/>
        <v>0</v>
      </c>
      <c r="L48" s="642">
        <f t="shared" si="97"/>
        <v>0</v>
      </c>
      <c r="M48" s="644">
        <f t="shared" si="97"/>
        <v>0</v>
      </c>
      <c r="N48" s="641">
        <f t="shared" si="97"/>
        <v>0</v>
      </c>
      <c r="O48" s="643" t="e">
        <f t="shared" si="6"/>
        <v>#DIV/0!</v>
      </c>
      <c r="P48" s="642">
        <f>+P62+P78+P92+P108+P124+P138</f>
        <v>0</v>
      </c>
      <c r="Q48" s="643" t="e">
        <f t="shared" si="11"/>
        <v>#DIV/0!</v>
      </c>
      <c r="R48" s="642">
        <f t="shared" si="20"/>
        <v>0</v>
      </c>
      <c r="S48" s="2805"/>
      <c r="T48" s="537"/>
    </row>
    <row r="49" spans="1:20" ht="13.5" customHeight="1" thickBot="1" x14ac:dyDescent="0.25">
      <c r="A49" s="2803"/>
      <c r="B49" s="667" t="s">
        <v>15</v>
      </c>
      <c r="C49" s="623"/>
      <c r="D49" s="668">
        <f>+D160+D172+D63+D181+D190+D79+D93+D202+D214+D223+D109+D235+D244++D256+D265+D274+D125+D283+D139+D292+D151+D301+D310+D319+D328+D337+D346+D358+D365</f>
        <v>345630116</v>
      </c>
      <c r="E49" s="668">
        <f t="shared" ref="E49:P49" si="98">+E160+E172+E63+E181+E190+E79+E93+E202+E214+E223+E109+E235+E244++E256+E265+E274+E125+E283+E139+E292+E151+E301+E310+E319+E328+E337+E346+E358+E365</f>
        <v>84105908</v>
      </c>
      <c r="F49" s="669">
        <f t="shared" si="98"/>
        <v>132419688</v>
      </c>
      <c r="G49" s="670">
        <f t="shared" si="98"/>
        <v>96816269</v>
      </c>
      <c r="H49" s="671">
        <f t="shared" si="98"/>
        <v>32288251</v>
      </c>
      <c r="I49" s="669">
        <f t="shared" si="98"/>
        <v>345630117</v>
      </c>
      <c r="J49" s="670">
        <f t="shared" si="98"/>
        <v>84105908</v>
      </c>
      <c r="K49" s="670">
        <f t="shared" si="98"/>
        <v>132419689</v>
      </c>
      <c r="L49" s="672">
        <f t="shared" si="98"/>
        <v>96816269</v>
      </c>
      <c r="M49" s="673">
        <f t="shared" si="98"/>
        <v>32288251</v>
      </c>
      <c r="N49" s="668">
        <f t="shared" si="98"/>
        <v>218692570</v>
      </c>
      <c r="O49" s="674">
        <f t="shared" si="6"/>
        <v>63.273586379261005</v>
      </c>
      <c r="P49" s="672">
        <f t="shared" si="98"/>
        <v>2166973</v>
      </c>
      <c r="Q49" s="674">
        <f t="shared" si="11"/>
        <v>2.2382322954419984</v>
      </c>
      <c r="R49" s="672">
        <f t="shared" si="20"/>
        <v>-94649296</v>
      </c>
      <c r="S49" s="2806"/>
      <c r="T49" s="537"/>
    </row>
    <row r="50" spans="1:20" ht="27.75" customHeight="1" x14ac:dyDescent="0.2">
      <c r="A50" s="2809" t="s">
        <v>40</v>
      </c>
      <c r="B50" s="675" t="s">
        <v>325</v>
      </c>
      <c r="C50" s="676" t="s">
        <v>225</v>
      </c>
      <c r="D50" s="677"/>
      <c r="E50" s="678"/>
      <c r="F50" s="678"/>
      <c r="G50" s="678"/>
      <c r="H50" s="679"/>
      <c r="I50" s="680"/>
      <c r="J50" s="678"/>
      <c r="K50" s="678"/>
      <c r="L50" s="678"/>
      <c r="M50" s="679"/>
      <c r="N50" s="680"/>
      <c r="O50" s="681"/>
      <c r="P50" s="678"/>
      <c r="Q50" s="681"/>
      <c r="R50" s="678"/>
      <c r="S50" s="682" t="s">
        <v>44</v>
      </c>
      <c r="T50" s="537"/>
    </row>
    <row r="51" spans="1:20" ht="15" customHeight="1" x14ac:dyDescent="0.2">
      <c r="A51" s="2810"/>
      <c r="B51" s="683" t="s">
        <v>3</v>
      </c>
      <c r="C51" s="684"/>
      <c r="D51" s="685">
        <f t="shared" ref="D51:H51" si="99">+D52+D55</f>
        <v>24378675</v>
      </c>
      <c r="E51" s="686">
        <f t="shared" si="99"/>
        <v>9637704</v>
      </c>
      <c r="F51" s="686">
        <f t="shared" si="99"/>
        <v>14695971</v>
      </c>
      <c r="G51" s="686">
        <f t="shared" si="99"/>
        <v>45000</v>
      </c>
      <c r="H51" s="687">
        <f t="shared" si="99"/>
        <v>0</v>
      </c>
      <c r="I51" s="685">
        <f t="shared" ref="I51:N51" si="100">+I52+I55</f>
        <v>24378674.75</v>
      </c>
      <c r="J51" s="686">
        <f t="shared" si="100"/>
        <v>9637704</v>
      </c>
      <c r="K51" s="686">
        <f t="shared" si="100"/>
        <v>14695970.75</v>
      </c>
      <c r="L51" s="686">
        <f t="shared" si="100"/>
        <v>45000</v>
      </c>
      <c r="M51" s="687">
        <f t="shared" si="100"/>
        <v>0</v>
      </c>
      <c r="N51" s="685">
        <f t="shared" si="100"/>
        <v>24334090.75</v>
      </c>
      <c r="O51" s="688">
        <f t="shared" si="6"/>
        <v>99.817117829414443</v>
      </c>
      <c r="P51" s="686">
        <f>+P52+P55</f>
        <v>416</v>
      </c>
      <c r="Q51" s="688">
        <f t="shared" si="11"/>
        <v>0.9244444444444444</v>
      </c>
      <c r="R51" s="686">
        <f t="shared" si="20"/>
        <v>-44584</v>
      </c>
      <c r="S51" s="2813" t="s">
        <v>45</v>
      </c>
      <c r="T51" s="537"/>
    </row>
    <row r="52" spans="1:20" ht="12.75" customHeight="1" x14ac:dyDescent="0.2">
      <c r="A52" s="2810"/>
      <c r="B52" s="689" t="s">
        <v>18</v>
      </c>
      <c r="C52" s="2815" t="s">
        <v>46</v>
      </c>
      <c r="D52" s="690">
        <f t="shared" ref="D52:H52" si="101">+D53+D54</f>
        <v>12817546</v>
      </c>
      <c r="E52" s="691">
        <f t="shared" si="101"/>
        <v>9272912</v>
      </c>
      <c r="F52" s="691">
        <f t="shared" si="101"/>
        <v>3499634</v>
      </c>
      <c r="G52" s="691">
        <f t="shared" si="101"/>
        <v>45000</v>
      </c>
      <c r="H52" s="692">
        <f t="shared" si="101"/>
        <v>0</v>
      </c>
      <c r="I52" s="690">
        <f t="shared" ref="I52:N52" si="102">+I53+I54</f>
        <v>12817545.799999999</v>
      </c>
      <c r="J52" s="691">
        <f t="shared" si="102"/>
        <v>9272912</v>
      </c>
      <c r="K52" s="691">
        <f t="shared" si="102"/>
        <v>3499633.8</v>
      </c>
      <c r="L52" s="691">
        <f t="shared" si="102"/>
        <v>45000</v>
      </c>
      <c r="M52" s="692">
        <f t="shared" si="102"/>
        <v>0</v>
      </c>
      <c r="N52" s="693">
        <f t="shared" si="102"/>
        <v>12772961.799999999</v>
      </c>
      <c r="O52" s="694">
        <f t="shared" si="6"/>
        <v>99.652162746285427</v>
      </c>
      <c r="P52" s="691">
        <f>+P53+P54</f>
        <v>416</v>
      </c>
      <c r="Q52" s="694">
        <f t="shared" si="11"/>
        <v>0.9244444444444444</v>
      </c>
      <c r="R52" s="695">
        <f t="shared" si="20"/>
        <v>-44584</v>
      </c>
      <c r="S52" s="2813"/>
      <c r="T52" s="537"/>
    </row>
    <row r="53" spans="1:20" ht="12.75" customHeight="1" x14ac:dyDescent="0.2">
      <c r="A53" s="2810"/>
      <c r="B53" s="696" t="s">
        <v>5</v>
      </c>
      <c r="C53" s="2816"/>
      <c r="D53" s="697">
        <f>+E53+F53+G53+H53</f>
        <v>1256417</v>
      </c>
      <c r="E53" s="698">
        <v>0</v>
      </c>
      <c r="F53" s="699">
        <v>1211417</v>
      </c>
      <c r="G53" s="699">
        <v>45000</v>
      </c>
      <c r="H53" s="700">
        <v>0</v>
      </c>
      <c r="I53" s="697">
        <f>+J53+K53+L53+M53</f>
        <v>1256416.8600000001</v>
      </c>
      <c r="J53" s="698">
        <v>0</v>
      </c>
      <c r="K53" s="699">
        <v>1211416.8600000001</v>
      </c>
      <c r="L53" s="699">
        <v>45000</v>
      </c>
      <c r="M53" s="700">
        <v>0</v>
      </c>
      <c r="N53" s="701">
        <f>J53+K53+P53</f>
        <v>1211832.8600000001</v>
      </c>
      <c r="O53" s="702">
        <f t="shared" si="6"/>
        <v>96.45148545427196</v>
      </c>
      <c r="P53" s="699">
        <v>416</v>
      </c>
      <c r="Q53" s="702">
        <f t="shared" si="11"/>
        <v>0.9244444444444444</v>
      </c>
      <c r="R53" s="699">
        <f t="shared" si="20"/>
        <v>-44584</v>
      </c>
      <c r="S53" s="2813"/>
      <c r="T53" s="537"/>
    </row>
    <row r="54" spans="1:20" s="252" customFormat="1" ht="12.75" customHeight="1" x14ac:dyDescent="0.2">
      <c r="A54" s="2810"/>
      <c r="B54" s="696" t="s">
        <v>12</v>
      </c>
      <c r="C54" s="2816"/>
      <c r="D54" s="697">
        <f>++E54+F54+G54+H54</f>
        <v>11561129</v>
      </c>
      <c r="E54" s="699">
        <f>186148+298000+8788764</f>
        <v>9272912</v>
      </c>
      <c r="F54" s="699">
        <v>2288217</v>
      </c>
      <c r="G54" s="698">
        <v>0</v>
      </c>
      <c r="H54" s="700">
        <v>0</v>
      </c>
      <c r="I54" s="697">
        <f>++J54+K54+L54+M54</f>
        <v>11561128.939999999</v>
      </c>
      <c r="J54" s="699">
        <f>186148+298000+8788764</f>
        <v>9272912</v>
      </c>
      <c r="K54" s="699">
        <v>2288216.94</v>
      </c>
      <c r="L54" s="698">
        <v>0</v>
      </c>
      <c r="M54" s="700">
        <v>0</v>
      </c>
      <c r="N54" s="701">
        <f>J54+K54+P54</f>
        <v>11561128.939999999</v>
      </c>
      <c r="O54" s="702">
        <f t="shared" si="6"/>
        <v>99.999999481019543</v>
      </c>
      <c r="P54" s="698">
        <v>0</v>
      </c>
      <c r="Q54" s="698">
        <v>0</v>
      </c>
      <c r="R54" s="699">
        <f t="shared" si="20"/>
        <v>0</v>
      </c>
      <c r="S54" s="2813"/>
      <c r="T54" s="537"/>
    </row>
    <row r="55" spans="1:20" ht="12.75" customHeight="1" x14ac:dyDescent="0.2">
      <c r="A55" s="2810"/>
      <c r="B55" s="703" t="s">
        <v>13</v>
      </c>
      <c r="C55" s="2816"/>
      <c r="D55" s="704">
        <f>+D57+D56</f>
        <v>11561129</v>
      </c>
      <c r="E55" s="705">
        <f>+E56+E57</f>
        <v>364792</v>
      </c>
      <c r="F55" s="705">
        <f>+F56+F57</f>
        <v>11196337</v>
      </c>
      <c r="G55" s="706">
        <f>+G56+G57</f>
        <v>0</v>
      </c>
      <c r="H55" s="707">
        <f>+H56+H57</f>
        <v>0</v>
      </c>
      <c r="I55" s="704">
        <f>+I57+I56</f>
        <v>11561128.949999999</v>
      </c>
      <c r="J55" s="705">
        <f>+J56+J57</f>
        <v>364792</v>
      </c>
      <c r="K55" s="705">
        <f>+K56+K57</f>
        <v>11196336.949999999</v>
      </c>
      <c r="L55" s="706">
        <f>+L56+L57</f>
        <v>0</v>
      </c>
      <c r="M55" s="707">
        <f>+M56+M57</f>
        <v>0</v>
      </c>
      <c r="N55" s="704">
        <f>+N56+N57</f>
        <v>11561128.949999999</v>
      </c>
      <c r="O55" s="708">
        <f t="shared" si="6"/>
        <v>99.999999567516284</v>
      </c>
      <c r="P55" s="706">
        <f>+P56+P57</f>
        <v>0</v>
      </c>
      <c r="Q55" s="706">
        <v>0</v>
      </c>
      <c r="R55" s="705">
        <f t="shared" si="20"/>
        <v>0</v>
      </c>
      <c r="S55" s="2813"/>
      <c r="T55" s="537"/>
    </row>
    <row r="56" spans="1:20" ht="12.75" hidden="1" customHeight="1" x14ac:dyDescent="0.2">
      <c r="A56" s="2810"/>
      <c r="B56" s="696" t="s">
        <v>12</v>
      </c>
      <c r="C56" s="2816"/>
      <c r="D56" s="709">
        <v>0</v>
      </c>
      <c r="E56" s="698">
        <v>0</v>
      </c>
      <c r="F56" s="698">
        <v>0</v>
      </c>
      <c r="G56" s="698">
        <v>0</v>
      </c>
      <c r="H56" s="700">
        <v>0</v>
      </c>
      <c r="I56" s="709">
        <v>0</v>
      </c>
      <c r="J56" s="698">
        <v>0</v>
      </c>
      <c r="K56" s="698">
        <v>0</v>
      </c>
      <c r="L56" s="698">
        <v>0</v>
      </c>
      <c r="M56" s="700">
        <v>0</v>
      </c>
      <c r="N56" s="710">
        <v>0</v>
      </c>
      <c r="O56" s="698" t="e">
        <f t="shared" si="6"/>
        <v>#DIV/0!</v>
      </c>
      <c r="P56" s="698">
        <v>0</v>
      </c>
      <c r="Q56" s="698" t="e">
        <f t="shared" si="11"/>
        <v>#DIV/0!</v>
      </c>
      <c r="R56" s="698">
        <f t="shared" si="20"/>
        <v>0</v>
      </c>
      <c r="S56" s="2813"/>
      <c r="T56" s="537"/>
    </row>
    <row r="57" spans="1:20" ht="12.75" customHeight="1" x14ac:dyDescent="0.2">
      <c r="A57" s="2810"/>
      <c r="B57" s="696" t="s">
        <v>15</v>
      </c>
      <c r="C57" s="2816"/>
      <c r="D57" s="697">
        <f>+E57+F57+G57+H57</f>
        <v>11561129</v>
      </c>
      <c r="E57" s="699">
        <v>364792</v>
      </c>
      <c r="F57" s="699">
        <v>11196337</v>
      </c>
      <c r="G57" s="698">
        <v>0</v>
      </c>
      <c r="H57" s="700">
        <v>0</v>
      </c>
      <c r="I57" s="697">
        <f>+J57+K57+L57+M57</f>
        <v>11561128.949999999</v>
      </c>
      <c r="J57" s="699">
        <v>364792</v>
      </c>
      <c r="K57" s="699">
        <v>11196336.949999999</v>
      </c>
      <c r="L57" s="698">
        <v>0</v>
      </c>
      <c r="M57" s="700">
        <v>0</v>
      </c>
      <c r="N57" s="701">
        <f>J57+K57+P57</f>
        <v>11561128.949999999</v>
      </c>
      <c r="O57" s="702">
        <f t="shared" si="6"/>
        <v>99.999999567516284</v>
      </c>
      <c r="P57" s="698">
        <v>0</v>
      </c>
      <c r="Q57" s="698">
        <v>0</v>
      </c>
      <c r="R57" s="699">
        <f t="shared" si="20"/>
        <v>0</v>
      </c>
      <c r="S57" s="2814"/>
      <c r="T57" s="537"/>
    </row>
    <row r="58" spans="1:20" ht="12.75" customHeight="1" x14ac:dyDescent="0.2">
      <c r="A58" s="2811"/>
      <c r="B58" s="683" t="s">
        <v>17</v>
      </c>
      <c r="C58" s="684"/>
      <c r="D58" s="711">
        <f t="shared" ref="D58:N58" si="103">+D61+D59</f>
        <v>23122258</v>
      </c>
      <c r="E58" s="686">
        <f t="shared" si="103"/>
        <v>6768575</v>
      </c>
      <c r="F58" s="686">
        <f t="shared" si="103"/>
        <v>11377726</v>
      </c>
      <c r="G58" s="686">
        <f t="shared" si="103"/>
        <v>4975957</v>
      </c>
      <c r="H58" s="687">
        <f t="shared" si="103"/>
        <v>0</v>
      </c>
      <c r="I58" s="711">
        <f t="shared" si="103"/>
        <v>23122257.949999999</v>
      </c>
      <c r="J58" s="686">
        <f t="shared" si="103"/>
        <v>6768575</v>
      </c>
      <c r="K58" s="686">
        <f>+K61+K59</f>
        <v>11377725.949999999</v>
      </c>
      <c r="L58" s="686">
        <f t="shared" si="103"/>
        <v>4975957</v>
      </c>
      <c r="M58" s="687">
        <f t="shared" si="103"/>
        <v>0</v>
      </c>
      <c r="N58" s="711">
        <f t="shared" si="103"/>
        <v>20125493.949999999</v>
      </c>
      <c r="O58" s="712">
        <f t="shared" si="6"/>
        <v>87.039483557358452</v>
      </c>
      <c r="P58" s="686">
        <f>+P61+P59</f>
        <v>1979193</v>
      </c>
      <c r="Q58" s="712">
        <f t="shared" si="11"/>
        <v>39.775122654797862</v>
      </c>
      <c r="R58" s="686">
        <f t="shared" si="20"/>
        <v>-2996764</v>
      </c>
      <c r="S58" s="2817" t="s">
        <v>47</v>
      </c>
      <c r="T58" s="537"/>
    </row>
    <row r="59" spans="1:20" ht="12.75" customHeight="1" x14ac:dyDescent="0.2">
      <c r="A59" s="2811"/>
      <c r="B59" s="689" t="s">
        <v>18</v>
      </c>
      <c r="C59" s="713"/>
      <c r="D59" s="714">
        <f t="shared" ref="D59:H59" si="104">D60</f>
        <v>11561129</v>
      </c>
      <c r="E59" s="715">
        <f t="shared" si="104"/>
        <v>6768575</v>
      </c>
      <c r="F59" s="715">
        <f t="shared" si="104"/>
        <v>2504336</v>
      </c>
      <c r="G59" s="715">
        <f t="shared" si="104"/>
        <v>2288218</v>
      </c>
      <c r="H59" s="692">
        <f t="shared" si="104"/>
        <v>0</v>
      </c>
      <c r="I59" s="714">
        <f t="shared" ref="I59:N59" si="105">I60</f>
        <v>11561128.949999999</v>
      </c>
      <c r="J59" s="715">
        <f t="shared" si="105"/>
        <v>6768575</v>
      </c>
      <c r="K59" s="715">
        <f>K60</f>
        <v>2504335.9500000002</v>
      </c>
      <c r="L59" s="715">
        <f t="shared" si="105"/>
        <v>2288218</v>
      </c>
      <c r="M59" s="692">
        <f t="shared" si="105"/>
        <v>0</v>
      </c>
      <c r="N59" s="714">
        <f t="shared" si="105"/>
        <v>10062746.949999999</v>
      </c>
      <c r="O59" s="702">
        <f t="shared" si="6"/>
        <v>87.039483341116593</v>
      </c>
      <c r="P59" s="705">
        <f>P60</f>
        <v>789836</v>
      </c>
      <c r="Q59" s="702">
        <f t="shared" si="11"/>
        <v>34.517515376594368</v>
      </c>
      <c r="R59" s="715">
        <f t="shared" si="20"/>
        <v>-1498382</v>
      </c>
      <c r="S59" s="2769"/>
      <c r="T59" s="537"/>
    </row>
    <row r="60" spans="1:20" ht="12.75" customHeight="1" x14ac:dyDescent="0.2">
      <c r="A60" s="2811"/>
      <c r="B60" s="696" t="s">
        <v>12</v>
      </c>
      <c r="C60" s="716"/>
      <c r="D60" s="697">
        <f>++E60+F60+G60+H60</f>
        <v>11561129</v>
      </c>
      <c r="E60" s="699">
        <v>6768575</v>
      </c>
      <c r="F60" s="699">
        <v>2504336</v>
      </c>
      <c r="G60" s="699">
        <v>2288218</v>
      </c>
      <c r="H60" s="700">
        <v>0</v>
      </c>
      <c r="I60" s="697">
        <f>++J60+K60+L60+M60</f>
        <v>11561128.949999999</v>
      </c>
      <c r="J60" s="699">
        <v>6768575</v>
      </c>
      <c r="K60" s="699">
        <v>2504335.9500000002</v>
      </c>
      <c r="L60" s="699">
        <v>2288218</v>
      </c>
      <c r="M60" s="700">
        <v>0</v>
      </c>
      <c r="N60" s="701">
        <f>J60+K60+P60</f>
        <v>10062746.949999999</v>
      </c>
      <c r="O60" s="702">
        <f t="shared" si="6"/>
        <v>87.039483341116593</v>
      </c>
      <c r="P60" s="699">
        <v>789836</v>
      </c>
      <c r="Q60" s="702">
        <f t="shared" si="11"/>
        <v>34.517515376594368</v>
      </c>
      <c r="R60" s="699">
        <f t="shared" si="20"/>
        <v>-1498382</v>
      </c>
      <c r="S60" s="2769"/>
      <c r="T60" s="537"/>
    </row>
    <row r="61" spans="1:20" ht="12.75" customHeight="1" x14ac:dyDescent="0.2">
      <c r="A61" s="2811"/>
      <c r="B61" s="703" t="s">
        <v>13</v>
      </c>
      <c r="C61" s="2771" t="s">
        <v>42</v>
      </c>
      <c r="D61" s="704">
        <f>+D63+D62</f>
        <v>11561129</v>
      </c>
      <c r="E61" s="706">
        <v>0</v>
      </c>
      <c r="F61" s="705">
        <f>+F63+F62</f>
        <v>8873390</v>
      </c>
      <c r="G61" s="705">
        <f>+G62+G63</f>
        <v>2687739</v>
      </c>
      <c r="H61" s="692">
        <f>+H62+H63</f>
        <v>0</v>
      </c>
      <c r="I61" s="704">
        <f>+I63+I62</f>
        <v>11561129</v>
      </c>
      <c r="J61" s="706">
        <v>0</v>
      </c>
      <c r="K61" s="705">
        <f>+K63+K62</f>
        <v>8873390</v>
      </c>
      <c r="L61" s="705">
        <f>+L62+L63</f>
        <v>2687739</v>
      </c>
      <c r="M61" s="692">
        <f>+M62+M63</f>
        <v>0</v>
      </c>
      <c r="N61" s="704">
        <f>+N62+N63</f>
        <v>10062747</v>
      </c>
      <c r="O61" s="708">
        <f t="shared" si="6"/>
        <v>87.03948377360031</v>
      </c>
      <c r="P61" s="705">
        <f>+P63+P62</f>
        <v>1189357</v>
      </c>
      <c r="Q61" s="708">
        <f t="shared" si="11"/>
        <v>44.251208915746652</v>
      </c>
      <c r="R61" s="705">
        <f t="shared" si="20"/>
        <v>-1498382</v>
      </c>
      <c r="S61" s="2769"/>
      <c r="T61" s="537"/>
    </row>
    <row r="62" spans="1:20" ht="12.75" hidden="1" customHeight="1" x14ac:dyDescent="0.2">
      <c r="A62" s="2811"/>
      <c r="B62" s="696" t="s">
        <v>12</v>
      </c>
      <c r="C62" s="2771"/>
      <c r="D62" s="709">
        <v>0</v>
      </c>
      <c r="E62" s="698">
        <v>0</v>
      </c>
      <c r="F62" s="698">
        <v>0</v>
      </c>
      <c r="G62" s="698">
        <v>0</v>
      </c>
      <c r="H62" s="700">
        <v>0</v>
      </c>
      <c r="I62" s="709">
        <v>0</v>
      </c>
      <c r="J62" s="698">
        <v>0</v>
      </c>
      <c r="K62" s="698">
        <v>0</v>
      </c>
      <c r="L62" s="698">
        <v>0</v>
      </c>
      <c r="M62" s="700">
        <v>0</v>
      </c>
      <c r="N62" s="710">
        <v>0</v>
      </c>
      <c r="O62" s="698">
        <v>0</v>
      </c>
      <c r="P62" s="698">
        <v>0</v>
      </c>
      <c r="Q62" s="698" t="e">
        <f t="shared" si="11"/>
        <v>#DIV/0!</v>
      </c>
      <c r="R62" s="698">
        <f t="shared" si="20"/>
        <v>0</v>
      </c>
      <c r="S62" s="2769"/>
      <c r="T62" s="537"/>
    </row>
    <row r="63" spans="1:20" ht="12.75" customHeight="1" thickBot="1" x14ac:dyDescent="0.25">
      <c r="A63" s="2812"/>
      <c r="B63" s="717" t="s">
        <v>15</v>
      </c>
      <c r="C63" s="2818"/>
      <c r="D63" s="718">
        <f>++E63+F63+G63+H63</f>
        <v>11561129</v>
      </c>
      <c r="E63" s="719">
        <v>0</v>
      </c>
      <c r="F63" s="720">
        <v>8873390</v>
      </c>
      <c r="G63" s="720">
        <v>2687739</v>
      </c>
      <c r="H63" s="721">
        <v>0</v>
      </c>
      <c r="I63" s="718">
        <f>++J63+K63+L63+M63</f>
        <v>11561129</v>
      </c>
      <c r="J63" s="719">
        <v>0</v>
      </c>
      <c r="K63" s="720">
        <v>8873390</v>
      </c>
      <c r="L63" s="720">
        <v>2687739</v>
      </c>
      <c r="M63" s="721">
        <v>0</v>
      </c>
      <c r="N63" s="722">
        <f>J63+K63+P63</f>
        <v>10062747</v>
      </c>
      <c r="O63" s="723">
        <f t="shared" si="6"/>
        <v>87.03948377360031</v>
      </c>
      <c r="P63" s="720">
        <v>1189357</v>
      </c>
      <c r="Q63" s="723">
        <f t="shared" si="11"/>
        <v>44.251208915746652</v>
      </c>
      <c r="R63" s="720">
        <f t="shared" si="20"/>
        <v>-1498382</v>
      </c>
      <c r="S63" s="2770"/>
      <c r="T63" s="537"/>
    </row>
    <row r="64" spans="1:20" s="726" customFormat="1" ht="25.5" x14ac:dyDescent="0.2">
      <c r="A64" s="2809" t="s">
        <v>43</v>
      </c>
      <c r="B64" s="675" t="s">
        <v>326</v>
      </c>
      <c r="C64" s="676" t="s">
        <v>225</v>
      </c>
      <c r="D64" s="724"/>
      <c r="E64" s="725"/>
      <c r="F64" s="678"/>
      <c r="G64" s="678"/>
      <c r="H64" s="679"/>
      <c r="I64" s="680"/>
      <c r="J64" s="678"/>
      <c r="K64" s="678"/>
      <c r="L64" s="678"/>
      <c r="M64" s="679"/>
      <c r="N64" s="680"/>
      <c r="O64" s="681"/>
      <c r="P64" s="678"/>
      <c r="Q64" s="681"/>
      <c r="R64" s="678"/>
      <c r="S64" s="682" t="s">
        <v>44</v>
      </c>
      <c r="T64" s="537"/>
    </row>
    <row r="65" spans="1:20" s="726" customFormat="1" ht="12" customHeight="1" x14ac:dyDescent="0.2">
      <c r="A65" s="2810"/>
      <c r="B65" s="683" t="s">
        <v>3</v>
      </c>
      <c r="C65" s="684"/>
      <c r="D65" s="727">
        <f t="shared" ref="D65" si="106">+D66+D70</f>
        <v>29095870</v>
      </c>
      <c r="E65" s="728">
        <f>+E66+E70</f>
        <v>15914185</v>
      </c>
      <c r="F65" s="728">
        <f t="shared" ref="F65:H65" si="107">+F66+F70</f>
        <v>13156685</v>
      </c>
      <c r="G65" s="728">
        <f t="shared" si="107"/>
        <v>25000</v>
      </c>
      <c r="H65" s="687">
        <f t="shared" si="107"/>
        <v>0</v>
      </c>
      <c r="I65" s="727">
        <f t="shared" ref="I65:M65" si="108">+I66+I70</f>
        <v>29095869.560000002</v>
      </c>
      <c r="J65" s="728">
        <f>+J66+J70</f>
        <v>15914185</v>
      </c>
      <c r="K65" s="728">
        <f>+K66+K70</f>
        <v>13156684.560000001</v>
      </c>
      <c r="L65" s="728">
        <f t="shared" si="108"/>
        <v>25000</v>
      </c>
      <c r="M65" s="687">
        <f t="shared" si="108"/>
        <v>0</v>
      </c>
      <c r="N65" s="727">
        <f>+N70+N66</f>
        <v>29078916.219999999</v>
      </c>
      <c r="O65" s="729">
        <f t="shared" si="6"/>
        <v>99.941731317881192</v>
      </c>
      <c r="P65" s="728">
        <f>+P66+P70</f>
        <v>8046.66</v>
      </c>
      <c r="Q65" s="729">
        <f t="shared" si="11"/>
        <v>32.186639999999997</v>
      </c>
      <c r="R65" s="728">
        <f t="shared" si="20"/>
        <v>-16953.34</v>
      </c>
      <c r="S65" s="2813" t="s">
        <v>45</v>
      </c>
      <c r="T65" s="537"/>
    </row>
    <row r="66" spans="1:20" s="726" customFormat="1" ht="12" customHeight="1" x14ac:dyDescent="0.2">
      <c r="A66" s="2810"/>
      <c r="B66" s="689" t="s">
        <v>18</v>
      </c>
      <c r="C66" s="2815" t="s">
        <v>46</v>
      </c>
      <c r="D66" s="730">
        <f>+D67+D69+D68</f>
        <v>14709556</v>
      </c>
      <c r="E66" s="705">
        <f>+E69+E67+E68</f>
        <v>8601389</v>
      </c>
      <c r="F66" s="705">
        <f>+F69+F67+F68</f>
        <v>6083167</v>
      </c>
      <c r="G66" s="731">
        <f>+G67+G69+G68</f>
        <v>25000</v>
      </c>
      <c r="H66" s="692">
        <f>+H67+H69</f>
        <v>0</v>
      </c>
      <c r="I66" s="730">
        <f>+I67+I69+I68</f>
        <v>14709556.020000001</v>
      </c>
      <c r="J66" s="705">
        <f>+J69+J67+J68</f>
        <v>8601389</v>
      </c>
      <c r="K66" s="705">
        <f>+K67+K69+K68</f>
        <v>6083167.0200000005</v>
      </c>
      <c r="L66" s="731">
        <f>+L67+L69+L68</f>
        <v>25000</v>
      </c>
      <c r="M66" s="692">
        <f>+M67+M69</f>
        <v>0</v>
      </c>
      <c r="N66" s="730">
        <f>+N67+N69+N68</f>
        <v>14692602.680000002</v>
      </c>
      <c r="O66" s="732">
        <f t="shared" si="6"/>
        <v>99.884746215317449</v>
      </c>
      <c r="P66" s="731">
        <f>+P67+P69+P68</f>
        <v>8046.66</v>
      </c>
      <c r="Q66" s="732">
        <f t="shared" si="11"/>
        <v>32.186639999999997</v>
      </c>
      <c r="R66" s="731">
        <f t="shared" si="20"/>
        <v>-16953.34</v>
      </c>
      <c r="S66" s="2813"/>
      <c r="T66" s="537"/>
    </row>
    <row r="67" spans="1:20" s="726" customFormat="1" ht="12.75" customHeight="1" x14ac:dyDescent="0.2">
      <c r="A67" s="2810"/>
      <c r="B67" s="696" t="s">
        <v>5</v>
      </c>
      <c r="C67" s="2816"/>
      <c r="D67" s="697">
        <f>+E67+F67+G67+H67</f>
        <v>108148</v>
      </c>
      <c r="E67" s="733">
        <v>5076</v>
      </c>
      <c r="F67" s="733">
        <v>78072</v>
      </c>
      <c r="G67" s="733">
        <v>25000</v>
      </c>
      <c r="H67" s="700">
        <v>0</v>
      </c>
      <c r="I67" s="697">
        <f>+J67+K67+L67+M67</f>
        <v>108147.99</v>
      </c>
      <c r="J67" s="733">
        <v>5076</v>
      </c>
      <c r="K67" s="733">
        <v>78071.990000000005</v>
      </c>
      <c r="L67" s="733">
        <v>25000</v>
      </c>
      <c r="M67" s="700">
        <v>0</v>
      </c>
      <c r="N67" s="701">
        <f>J67+K67+P67</f>
        <v>91194.650000000009</v>
      </c>
      <c r="O67" s="734">
        <f t="shared" si="6"/>
        <v>84.323935717720161</v>
      </c>
      <c r="P67" s="699">
        <v>8046.66</v>
      </c>
      <c r="Q67" s="734">
        <f t="shared" si="11"/>
        <v>32.186639999999997</v>
      </c>
      <c r="R67" s="699">
        <f t="shared" si="20"/>
        <v>-16953.34</v>
      </c>
      <c r="S67" s="2813"/>
      <c r="T67" s="537"/>
    </row>
    <row r="68" spans="1:20" s="726" customFormat="1" ht="12.75" customHeight="1" x14ac:dyDescent="0.2">
      <c r="A68" s="2810"/>
      <c r="B68" s="696" t="s">
        <v>10</v>
      </c>
      <c r="C68" s="2816"/>
      <c r="D68" s="697">
        <f>+E68+F68+G68+H68</f>
        <v>215095</v>
      </c>
      <c r="E68" s="733">
        <v>110000</v>
      </c>
      <c r="F68" s="733">
        <v>105095</v>
      </c>
      <c r="G68" s="735">
        <v>0</v>
      </c>
      <c r="H68" s="736">
        <v>0</v>
      </c>
      <c r="I68" s="697">
        <f>+J68+K68+L68+M68</f>
        <v>215095</v>
      </c>
      <c r="J68" s="733">
        <v>110000</v>
      </c>
      <c r="K68" s="733">
        <v>105095</v>
      </c>
      <c r="L68" s="735">
        <v>0</v>
      </c>
      <c r="M68" s="736">
        <v>0</v>
      </c>
      <c r="N68" s="701">
        <f>J68+K68+P68</f>
        <v>215095</v>
      </c>
      <c r="O68" s="734">
        <f t="shared" si="6"/>
        <v>100</v>
      </c>
      <c r="P68" s="735">
        <v>0</v>
      </c>
      <c r="Q68" s="735">
        <v>0</v>
      </c>
      <c r="R68" s="699">
        <f t="shared" si="20"/>
        <v>0</v>
      </c>
      <c r="S68" s="2813"/>
      <c r="T68" s="537"/>
    </row>
    <row r="69" spans="1:20" s="737" customFormat="1" ht="12.75" customHeight="1" x14ac:dyDescent="0.2">
      <c r="A69" s="2810"/>
      <c r="B69" s="696" t="s">
        <v>12</v>
      </c>
      <c r="C69" s="2816"/>
      <c r="D69" s="697">
        <f>++E69+F69+G69+H69</f>
        <v>14386313</v>
      </c>
      <c r="E69" s="699">
        <f>118878+77968+8289467</f>
        <v>8486313</v>
      </c>
      <c r="F69" s="733">
        <v>5900000</v>
      </c>
      <c r="G69" s="735">
        <v>0</v>
      </c>
      <c r="H69" s="736">
        <v>0</v>
      </c>
      <c r="I69" s="697">
        <f>++J69+K69+L69+M69</f>
        <v>14386313.030000001</v>
      </c>
      <c r="J69" s="699">
        <f>118878+77968+8289467</f>
        <v>8486313</v>
      </c>
      <c r="K69" s="733">
        <f>5139320.03+760680</f>
        <v>5900000.0300000003</v>
      </c>
      <c r="L69" s="735">
        <v>0</v>
      </c>
      <c r="M69" s="736">
        <v>0</v>
      </c>
      <c r="N69" s="701">
        <f>J69+K69+P69</f>
        <v>14386313.030000001</v>
      </c>
      <c r="O69" s="734">
        <f t="shared" si="6"/>
        <v>100.00000020853155</v>
      </c>
      <c r="P69" s="735">
        <v>0</v>
      </c>
      <c r="Q69" s="735">
        <v>0</v>
      </c>
      <c r="R69" s="699">
        <f t="shared" si="20"/>
        <v>0</v>
      </c>
      <c r="S69" s="2813"/>
      <c r="T69" s="537"/>
    </row>
    <row r="70" spans="1:20" s="726" customFormat="1" ht="12.75" customHeight="1" x14ac:dyDescent="0.2">
      <c r="A70" s="2810"/>
      <c r="B70" s="703" t="s">
        <v>13</v>
      </c>
      <c r="C70" s="2816"/>
      <c r="D70" s="704">
        <f>+D72+D71</f>
        <v>14386314</v>
      </c>
      <c r="E70" s="705">
        <f>+E72+E71</f>
        <v>7312796</v>
      </c>
      <c r="F70" s="705">
        <f>+F72+F71</f>
        <v>7073518</v>
      </c>
      <c r="G70" s="706">
        <f>+G71+G72</f>
        <v>0</v>
      </c>
      <c r="H70" s="707">
        <f>+H72+H71</f>
        <v>0</v>
      </c>
      <c r="I70" s="704">
        <f>+I72+I71</f>
        <v>14386313.539999999</v>
      </c>
      <c r="J70" s="705">
        <f>+J72+J71</f>
        <v>7312796</v>
      </c>
      <c r="K70" s="705">
        <f>+K72+K71</f>
        <v>7073517.54</v>
      </c>
      <c r="L70" s="706">
        <f>+L71+L72</f>
        <v>0</v>
      </c>
      <c r="M70" s="707">
        <f>+M72+M71</f>
        <v>0</v>
      </c>
      <c r="N70" s="704">
        <f>+N71+N72</f>
        <v>14386313.539999999</v>
      </c>
      <c r="O70" s="708">
        <f t="shared" si="6"/>
        <v>99.999996802516605</v>
      </c>
      <c r="P70" s="706">
        <f>+P72+P71</f>
        <v>0</v>
      </c>
      <c r="Q70" s="706">
        <v>0</v>
      </c>
      <c r="R70" s="705">
        <f t="shared" si="20"/>
        <v>0</v>
      </c>
      <c r="S70" s="2813"/>
      <c r="T70" s="537"/>
    </row>
    <row r="71" spans="1:20" s="726" customFormat="1" ht="12.75" hidden="1" customHeight="1" x14ac:dyDescent="0.2">
      <c r="A71" s="2810"/>
      <c r="B71" s="696" t="s">
        <v>12</v>
      </c>
      <c r="C71" s="2816"/>
      <c r="D71" s="709">
        <f>+E71+F71+G71+H71</f>
        <v>0</v>
      </c>
      <c r="E71" s="698">
        <v>0</v>
      </c>
      <c r="F71" s="735">
        <v>0</v>
      </c>
      <c r="G71" s="735">
        <v>0</v>
      </c>
      <c r="H71" s="736">
        <v>0</v>
      </c>
      <c r="I71" s="709">
        <f>+J71+K71+L71+M71</f>
        <v>0</v>
      </c>
      <c r="J71" s="698">
        <v>0</v>
      </c>
      <c r="K71" s="735">
        <v>0</v>
      </c>
      <c r="L71" s="735">
        <v>0</v>
      </c>
      <c r="M71" s="736">
        <v>0</v>
      </c>
      <c r="N71" s="710">
        <f>J71+K71+P71</f>
        <v>0</v>
      </c>
      <c r="O71" s="735" t="e">
        <f t="shared" si="6"/>
        <v>#DIV/0!</v>
      </c>
      <c r="P71" s="735">
        <v>0</v>
      </c>
      <c r="Q71" s="735" t="e">
        <f t="shared" si="11"/>
        <v>#DIV/0!</v>
      </c>
      <c r="R71" s="698">
        <f t="shared" ref="R71:R134" si="109">+P71-L71</f>
        <v>0</v>
      </c>
      <c r="S71" s="2813"/>
      <c r="T71" s="537"/>
    </row>
    <row r="72" spans="1:20" s="726" customFormat="1" ht="12.75" customHeight="1" x14ac:dyDescent="0.2">
      <c r="A72" s="2810"/>
      <c r="B72" s="696" t="s">
        <v>15</v>
      </c>
      <c r="C72" s="2816"/>
      <c r="D72" s="697">
        <f>++E72+F72+G72+H72</f>
        <v>14386314</v>
      </c>
      <c r="E72" s="699">
        <f>118878+77968+7115950</f>
        <v>7312796</v>
      </c>
      <c r="F72" s="733">
        <v>7073518</v>
      </c>
      <c r="G72" s="735">
        <v>0</v>
      </c>
      <c r="H72" s="736">
        <v>0</v>
      </c>
      <c r="I72" s="697">
        <f>++J72+K72+L72+M72</f>
        <v>14386313.539999999</v>
      </c>
      <c r="J72" s="699">
        <f>118878+77968+7115950</f>
        <v>7312796</v>
      </c>
      <c r="K72" s="733">
        <f>6312837.19+760680.35</f>
        <v>7073517.54</v>
      </c>
      <c r="L72" s="735">
        <v>0</v>
      </c>
      <c r="M72" s="736">
        <v>0</v>
      </c>
      <c r="N72" s="701">
        <f>J72+K72+P72</f>
        <v>14386313.539999999</v>
      </c>
      <c r="O72" s="734">
        <f t="shared" si="6"/>
        <v>99.999996802516605</v>
      </c>
      <c r="P72" s="735">
        <v>0</v>
      </c>
      <c r="Q72" s="735">
        <v>0</v>
      </c>
      <c r="R72" s="699">
        <f t="shared" si="109"/>
        <v>0</v>
      </c>
      <c r="S72" s="2814"/>
      <c r="T72" s="537"/>
    </row>
    <row r="73" spans="1:20" s="726" customFormat="1" ht="12.75" customHeight="1" x14ac:dyDescent="0.2">
      <c r="A73" s="2811"/>
      <c r="B73" s="683" t="s">
        <v>17</v>
      </c>
      <c r="C73" s="684"/>
      <c r="D73" s="711">
        <f t="shared" ref="D73:M73" si="110">+D77+D74</f>
        <v>28987722</v>
      </c>
      <c r="E73" s="686">
        <f t="shared" si="110"/>
        <v>11477261</v>
      </c>
      <c r="F73" s="686">
        <f t="shared" si="110"/>
        <v>15879100</v>
      </c>
      <c r="G73" s="686">
        <f t="shared" si="110"/>
        <v>1521361</v>
      </c>
      <c r="H73" s="738">
        <f t="shared" si="110"/>
        <v>0</v>
      </c>
      <c r="I73" s="711">
        <f t="shared" si="110"/>
        <v>28987722</v>
      </c>
      <c r="J73" s="686">
        <f t="shared" si="110"/>
        <v>11587261</v>
      </c>
      <c r="K73" s="686">
        <f>+K77+K74</f>
        <v>15879100</v>
      </c>
      <c r="L73" s="686">
        <f t="shared" si="110"/>
        <v>1521361</v>
      </c>
      <c r="M73" s="687">
        <f t="shared" si="110"/>
        <v>0</v>
      </c>
      <c r="N73" s="711">
        <f>+N77+N74</f>
        <v>27466361</v>
      </c>
      <c r="O73" s="712">
        <f t="shared" si="6"/>
        <v>94.751705566929331</v>
      </c>
      <c r="P73" s="686">
        <f>+P77+P74</f>
        <v>0</v>
      </c>
      <c r="Q73" s="712">
        <f t="shared" si="11"/>
        <v>0</v>
      </c>
      <c r="R73" s="686">
        <f t="shared" si="109"/>
        <v>-1521361</v>
      </c>
      <c r="S73" s="2817" t="s">
        <v>47</v>
      </c>
      <c r="T73" s="537"/>
    </row>
    <row r="74" spans="1:20" s="726" customFormat="1" ht="12.75" customHeight="1" x14ac:dyDescent="0.2">
      <c r="A74" s="2811"/>
      <c r="B74" s="689" t="s">
        <v>18</v>
      </c>
      <c r="C74" s="713"/>
      <c r="D74" s="690">
        <f>D76+D75</f>
        <v>14601408</v>
      </c>
      <c r="E74" s="691">
        <f>E76</f>
        <v>8486313</v>
      </c>
      <c r="F74" s="691">
        <f t="shared" ref="F74:N74" si="111">F76+F75</f>
        <v>5244415</v>
      </c>
      <c r="G74" s="691">
        <f t="shared" si="111"/>
        <v>760680</v>
      </c>
      <c r="H74" s="739">
        <f t="shared" si="111"/>
        <v>0</v>
      </c>
      <c r="I74" s="690">
        <f t="shared" si="111"/>
        <v>14601408</v>
      </c>
      <c r="J74" s="691">
        <f t="shared" si="111"/>
        <v>8596313</v>
      </c>
      <c r="K74" s="691">
        <f>K76+K75</f>
        <v>5244415</v>
      </c>
      <c r="L74" s="691">
        <f t="shared" si="111"/>
        <v>760680</v>
      </c>
      <c r="M74" s="740">
        <f t="shared" si="111"/>
        <v>0</v>
      </c>
      <c r="N74" s="690">
        <f t="shared" si="111"/>
        <v>13840728</v>
      </c>
      <c r="O74" s="741">
        <f t="shared" si="6"/>
        <v>94.790365422293519</v>
      </c>
      <c r="P74" s="691">
        <f>P76+P75</f>
        <v>0</v>
      </c>
      <c r="Q74" s="741">
        <f t="shared" si="11"/>
        <v>0</v>
      </c>
      <c r="R74" s="691">
        <f t="shared" si="109"/>
        <v>-760680</v>
      </c>
      <c r="S74" s="2769"/>
      <c r="T74" s="537"/>
    </row>
    <row r="75" spans="1:20" s="726" customFormat="1" ht="12.75" customHeight="1" x14ac:dyDescent="0.2">
      <c r="A75" s="2811"/>
      <c r="B75" s="696" t="s">
        <v>10</v>
      </c>
      <c r="C75" s="713"/>
      <c r="D75" s="697">
        <f>+E75+F75+G75+H75</f>
        <v>215095</v>
      </c>
      <c r="E75" s="733">
        <v>110000</v>
      </c>
      <c r="F75" s="733">
        <v>105095</v>
      </c>
      <c r="G75" s="742">
        <v>0</v>
      </c>
      <c r="H75" s="721">
        <v>0</v>
      </c>
      <c r="I75" s="697">
        <f>+J75+K75+L75+M75</f>
        <v>215095</v>
      </c>
      <c r="J75" s="733">
        <v>110000</v>
      </c>
      <c r="K75" s="733">
        <v>105095</v>
      </c>
      <c r="L75" s="742">
        <v>0</v>
      </c>
      <c r="M75" s="721">
        <v>0</v>
      </c>
      <c r="N75" s="701">
        <f>J75+K75+P75</f>
        <v>215095</v>
      </c>
      <c r="O75" s="734">
        <f t="shared" si="6"/>
        <v>100</v>
      </c>
      <c r="P75" s="742">
        <v>0</v>
      </c>
      <c r="Q75" s="735">
        <v>0</v>
      </c>
      <c r="R75" s="699">
        <f t="shared" si="109"/>
        <v>0</v>
      </c>
      <c r="S75" s="2769"/>
      <c r="T75" s="537"/>
    </row>
    <row r="76" spans="1:20" s="743" customFormat="1" ht="12.75" customHeight="1" x14ac:dyDescent="0.2">
      <c r="A76" s="2811"/>
      <c r="B76" s="696" t="s">
        <v>12</v>
      </c>
      <c r="C76" s="716"/>
      <c r="D76" s="697">
        <f>+E76+F76+G76+H76</f>
        <v>14386313</v>
      </c>
      <c r="E76" s="733">
        <v>8486313</v>
      </c>
      <c r="F76" s="733">
        <v>5139320</v>
      </c>
      <c r="G76" s="733">
        <v>760680</v>
      </c>
      <c r="H76" s="736">
        <v>0</v>
      </c>
      <c r="I76" s="697">
        <f>+J76+K76+L76+M76</f>
        <v>14386313</v>
      </c>
      <c r="J76" s="733">
        <v>8486313</v>
      </c>
      <c r="K76" s="733">
        <v>5139320</v>
      </c>
      <c r="L76" s="733">
        <v>760680</v>
      </c>
      <c r="M76" s="736">
        <v>0</v>
      </c>
      <c r="N76" s="701">
        <f>J76+K76+P76</f>
        <v>13625633</v>
      </c>
      <c r="O76" s="734">
        <f t="shared" ref="O76:O139" si="112">N76/D76*100</f>
        <v>94.712474280241224</v>
      </c>
      <c r="P76" s="699"/>
      <c r="Q76" s="734">
        <f t="shared" ref="Q76:Q139" si="113">P76/G76*100</f>
        <v>0</v>
      </c>
      <c r="R76" s="699">
        <f t="shared" si="109"/>
        <v>-760680</v>
      </c>
      <c r="S76" s="2769"/>
      <c r="T76" s="537"/>
    </row>
    <row r="77" spans="1:20" s="726" customFormat="1" ht="12.75" customHeight="1" x14ac:dyDescent="0.2">
      <c r="A77" s="2811"/>
      <c r="B77" s="703" t="s">
        <v>13</v>
      </c>
      <c r="C77" s="2771" t="s">
        <v>42</v>
      </c>
      <c r="D77" s="704">
        <f>+D79+D78</f>
        <v>14386314</v>
      </c>
      <c r="E77" s="705">
        <f>+E78+E79</f>
        <v>2990948</v>
      </c>
      <c r="F77" s="705">
        <f>+F78+F79</f>
        <v>10634685</v>
      </c>
      <c r="G77" s="705">
        <f>+G79+G78</f>
        <v>760681</v>
      </c>
      <c r="H77" s="744">
        <f>+H79+H78</f>
        <v>0</v>
      </c>
      <c r="I77" s="704">
        <f>+I79+I78</f>
        <v>14386314</v>
      </c>
      <c r="J77" s="705">
        <f>+J78+J79</f>
        <v>2990948</v>
      </c>
      <c r="K77" s="705">
        <f>+K79+K78</f>
        <v>10634685</v>
      </c>
      <c r="L77" s="705">
        <f>+L79+L78</f>
        <v>760681</v>
      </c>
      <c r="M77" s="745">
        <f>+M79+M78</f>
        <v>0</v>
      </c>
      <c r="N77" s="704">
        <f>+N78+N79</f>
        <v>13625633</v>
      </c>
      <c r="O77" s="708">
        <f t="shared" si="112"/>
        <v>94.712467696728993</v>
      </c>
      <c r="P77" s="705">
        <f>+P79+P78</f>
        <v>0</v>
      </c>
      <c r="Q77" s="708">
        <f t="shared" si="113"/>
        <v>0</v>
      </c>
      <c r="R77" s="705">
        <f t="shared" si="109"/>
        <v>-760681</v>
      </c>
      <c r="S77" s="2769"/>
      <c r="T77" s="537"/>
    </row>
    <row r="78" spans="1:20" s="726" customFormat="1" ht="12.75" hidden="1" customHeight="1" x14ac:dyDescent="0.2">
      <c r="A78" s="2811"/>
      <c r="B78" s="696" t="s">
        <v>12</v>
      </c>
      <c r="C78" s="2771"/>
      <c r="D78" s="709">
        <f>+E78+F78+G78+H78</f>
        <v>0</v>
      </c>
      <c r="E78" s="735">
        <v>0</v>
      </c>
      <c r="F78" s="735">
        <v>0</v>
      </c>
      <c r="G78" s="735">
        <v>0</v>
      </c>
      <c r="H78" s="736">
        <v>0</v>
      </c>
      <c r="I78" s="709">
        <f>+J78+K78+L78+M78</f>
        <v>0</v>
      </c>
      <c r="J78" s="735">
        <v>0</v>
      </c>
      <c r="K78" s="735">
        <v>0</v>
      </c>
      <c r="L78" s="735">
        <v>0</v>
      </c>
      <c r="M78" s="736">
        <v>0</v>
      </c>
      <c r="N78" s="710">
        <f>J78+K78+P78</f>
        <v>0</v>
      </c>
      <c r="O78" s="735" t="e">
        <f t="shared" si="112"/>
        <v>#DIV/0!</v>
      </c>
      <c r="P78" s="698">
        <v>0</v>
      </c>
      <c r="Q78" s="735" t="e">
        <f t="shared" si="113"/>
        <v>#DIV/0!</v>
      </c>
      <c r="R78" s="698">
        <f t="shared" si="109"/>
        <v>0</v>
      </c>
      <c r="S78" s="2769"/>
      <c r="T78" s="537"/>
    </row>
    <row r="79" spans="1:20" s="726" customFormat="1" ht="12.75" customHeight="1" thickBot="1" x14ac:dyDescent="0.25">
      <c r="A79" s="2812"/>
      <c r="B79" s="717" t="s">
        <v>15</v>
      </c>
      <c r="C79" s="2818"/>
      <c r="D79" s="718">
        <f>+E79+F79+G79+H79</f>
        <v>14386314</v>
      </c>
      <c r="E79" s="720">
        <v>2990948</v>
      </c>
      <c r="F79" s="720">
        <v>10634685</v>
      </c>
      <c r="G79" s="720">
        <v>760681</v>
      </c>
      <c r="H79" s="735">
        <v>0</v>
      </c>
      <c r="I79" s="718">
        <f>+J79+K79+L79+M79</f>
        <v>14386314</v>
      </c>
      <c r="J79" s="720">
        <v>2990948</v>
      </c>
      <c r="K79" s="720">
        <v>10634685</v>
      </c>
      <c r="L79" s="720">
        <v>760681</v>
      </c>
      <c r="M79" s="736">
        <v>0</v>
      </c>
      <c r="N79" s="722">
        <f>J79+K79+P79</f>
        <v>13625633</v>
      </c>
      <c r="O79" s="723">
        <f t="shared" si="112"/>
        <v>94.712467696728993</v>
      </c>
      <c r="P79" s="720"/>
      <c r="Q79" s="723">
        <f t="shared" si="113"/>
        <v>0</v>
      </c>
      <c r="R79" s="720">
        <f t="shared" si="109"/>
        <v>-760681</v>
      </c>
      <c r="S79" s="2770"/>
      <c r="T79" s="537"/>
    </row>
    <row r="80" spans="1:20" ht="27.75" customHeight="1" x14ac:dyDescent="0.2">
      <c r="A80" s="2809" t="s">
        <v>48</v>
      </c>
      <c r="B80" s="746" t="s">
        <v>327</v>
      </c>
      <c r="C80" s="676" t="s">
        <v>225</v>
      </c>
      <c r="D80" s="724"/>
      <c r="E80" s="725"/>
      <c r="F80" s="678"/>
      <c r="G80" s="678"/>
      <c r="H80" s="679"/>
      <c r="I80" s="680" t="s">
        <v>50</v>
      </c>
      <c r="J80" s="678"/>
      <c r="K80" s="678"/>
      <c r="L80" s="678"/>
      <c r="M80" s="679"/>
      <c r="N80" s="680"/>
      <c r="O80" s="681"/>
      <c r="P80" s="678"/>
      <c r="Q80" s="681"/>
      <c r="R80" s="678"/>
      <c r="S80" s="682" t="s">
        <v>44</v>
      </c>
      <c r="T80" s="537"/>
    </row>
    <row r="81" spans="1:20" x14ac:dyDescent="0.2">
      <c r="A81" s="2810"/>
      <c r="B81" s="683" t="s">
        <v>3</v>
      </c>
      <c r="C81" s="684"/>
      <c r="D81" s="727">
        <f t="shared" ref="D81:H81" si="114">+D82+D85</f>
        <v>25427926</v>
      </c>
      <c r="E81" s="728">
        <f t="shared" si="114"/>
        <v>14675830</v>
      </c>
      <c r="F81" s="728">
        <f t="shared" si="114"/>
        <v>10732096</v>
      </c>
      <c r="G81" s="728">
        <f t="shared" si="114"/>
        <v>20000</v>
      </c>
      <c r="H81" s="747">
        <f t="shared" si="114"/>
        <v>0</v>
      </c>
      <c r="I81" s="727">
        <f t="shared" ref="I81:N81" si="115">+I82+I85</f>
        <v>25427925.829999998</v>
      </c>
      <c r="J81" s="728">
        <f t="shared" si="115"/>
        <v>14675830</v>
      </c>
      <c r="K81" s="728">
        <f>+K82+K85</f>
        <v>10732095.83</v>
      </c>
      <c r="L81" s="728">
        <f t="shared" si="115"/>
        <v>20000</v>
      </c>
      <c r="M81" s="748">
        <f t="shared" si="115"/>
        <v>0</v>
      </c>
      <c r="N81" s="727">
        <f t="shared" si="115"/>
        <v>25407925.829999998</v>
      </c>
      <c r="O81" s="729">
        <f t="shared" si="112"/>
        <v>99.921345649660921</v>
      </c>
      <c r="P81" s="728">
        <f>+P82+P85</f>
        <v>0</v>
      </c>
      <c r="Q81" s="729">
        <f t="shared" si="113"/>
        <v>0</v>
      </c>
      <c r="R81" s="728">
        <f t="shared" si="109"/>
        <v>-20000</v>
      </c>
      <c r="S81" s="2813" t="s">
        <v>45</v>
      </c>
      <c r="T81" s="537"/>
    </row>
    <row r="82" spans="1:20" x14ac:dyDescent="0.2">
      <c r="A82" s="2810"/>
      <c r="B82" s="689" t="s">
        <v>18</v>
      </c>
      <c r="C82" s="2815" t="s">
        <v>46</v>
      </c>
      <c r="D82" s="749">
        <f t="shared" ref="D82:H82" si="116">+D83+D84</f>
        <v>13106328</v>
      </c>
      <c r="E82" s="750">
        <f t="shared" si="116"/>
        <v>9913909</v>
      </c>
      <c r="F82" s="750">
        <f t="shared" si="116"/>
        <v>3172419</v>
      </c>
      <c r="G82" s="750">
        <f t="shared" si="116"/>
        <v>20000</v>
      </c>
      <c r="H82" s="751">
        <f t="shared" si="116"/>
        <v>0</v>
      </c>
      <c r="I82" s="749">
        <f t="shared" ref="I82:N82" si="117">+I83+I84</f>
        <v>13106328.16</v>
      </c>
      <c r="J82" s="750">
        <f t="shared" si="117"/>
        <v>9913909</v>
      </c>
      <c r="K82" s="750">
        <f>+K83+K84</f>
        <v>3172419.1599999997</v>
      </c>
      <c r="L82" s="750">
        <f t="shared" si="117"/>
        <v>20000</v>
      </c>
      <c r="M82" s="752">
        <f t="shared" si="117"/>
        <v>0</v>
      </c>
      <c r="N82" s="749">
        <f t="shared" si="117"/>
        <v>13086328.16</v>
      </c>
      <c r="O82" s="732">
        <f t="shared" si="112"/>
        <v>99.847403178067879</v>
      </c>
      <c r="P82" s="750">
        <f>+P83+P84</f>
        <v>0</v>
      </c>
      <c r="Q82" s="732">
        <f t="shared" si="113"/>
        <v>0</v>
      </c>
      <c r="R82" s="731">
        <f t="shared" si="109"/>
        <v>-20000</v>
      </c>
      <c r="S82" s="2813"/>
      <c r="T82" s="537"/>
    </row>
    <row r="83" spans="1:20" ht="11.25" customHeight="1" x14ac:dyDescent="0.2">
      <c r="A83" s="2810"/>
      <c r="B83" s="696" t="s">
        <v>5</v>
      </c>
      <c r="C83" s="2816"/>
      <c r="D83" s="697">
        <f>+E83+F83+G83+H83</f>
        <v>784731</v>
      </c>
      <c r="E83" s="733">
        <v>13346</v>
      </c>
      <c r="F83" s="733">
        <v>751385</v>
      </c>
      <c r="G83" s="733">
        <v>20000</v>
      </c>
      <c r="H83" s="735">
        <v>0</v>
      </c>
      <c r="I83" s="697">
        <f>+J83+K83+L83+M83</f>
        <v>784731.48</v>
      </c>
      <c r="J83" s="733">
        <v>13346</v>
      </c>
      <c r="K83" s="733">
        <v>751385.48</v>
      </c>
      <c r="L83" s="733">
        <v>20000</v>
      </c>
      <c r="M83" s="736">
        <v>0</v>
      </c>
      <c r="N83" s="701">
        <f>J83+K83+P83</f>
        <v>764731.48</v>
      </c>
      <c r="O83" s="734">
        <f t="shared" si="112"/>
        <v>97.451417109812155</v>
      </c>
      <c r="P83" s="699">
        <v>0</v>
      </c>
      <c r="Q83" s="734">
        <f t="shared" si="113"/>
        <v>0</v>
      </c>
      <c r="R83" s="699">
        <f t="shared" si="109"/>
        <v>-20000</v>
      </c>
      <c r="S83" s="2813"/>
      <c r="T83" s="537"/>
    </row>
    <row r="84" spans="1:20" s="252" customFormat="1" ht="11.25" customHeight="1" x14ac:dyDescent="0.2">
      <c r="A84" s="2810"/>
      <c r="B84" s="696" t="s">
        <v>12</v>
      </c>
      <c r="C84" s="2816"/>
      <c r="D84" s="697">
        <f>++E84+F84+G84+H84</f>
        <v>12321597</v>
      </c>
      <c r="E84" s="699">
        <f>83204+290875+9526484</f>
        <v>9900563</v>
      </c>
      <c r="F84" s="733">
        <v>2421034</v>
      </c>
      <c r="G84" s="735">
        <v>0</v>
      </c>
      <c r="H84" s="736">
        <v>0</v>
      </c>
      <c r="I84" s="697">
        <f>++J84+K84+L84+M84</f>
        <v>12321596.68</v>
      </c>
      <c r="J84" s="699">
        <f>83204+290875+9526484</f>
        <v>9900563</v>
      </c>
      <c r="K84" s="733">
        <f>1802247.72+618785.96</f>
        <v>2421033.6799999997</v>
      </c>
      <c r="L84" s="733">
        <v>0</v>
      </c>
      <c r="M84" s="736">
        <v>0</v>
      </c>
      <c r="N84" s="701">
        <f>J84+K84+P84</f>
        <v>12321596.68</v>
      </c>
      <c r="O84" s="734">
        <f t="shared" si="112"/>
        <v>99.999997402934042</v>
      </c>
      <c r="P84" s="699">
        <v>0</v>
      </c>
      <c r="Q84" s="735">
        <v>0</v>
      </c>
      <c r="R84" s="699">
        <f t="shared" si="109"/>
        <v>0</v>
      </c>
      <c r="S84" s="2813"/>
      <c r="T84" s="537"/>
    </row>
    <row r="85" spans="1:20" x14ac:dyDescent="0.2">
      <c r="A85" s="2810"/>
      <c r="B85" s="703" t="s">
        <v>13</v>
      </c>
      <c r="C85" s="2816"/>
      <c r="D85" s="704">
        <f>+D87+D86</f>
        <v>12321598</v>
      </c>
      <c r="E85" s="705">
        <f>+E87+E86</f>
        <v>4761921</v>
      </c>
      <c r="F85" s="705">
        <f>+F87+F86</f>
        <v>7559677</v>
      </c>
      <c r="G85" s="706">
        <f>+G86+G87</f>
        <v>0</v>
      </c>
      <c r="H85" s="707">
        <f>+H87+H86</f>
        <v>0</v>
      </c>
      <c r="I85" s="704">
        <f>+I87+I86</f>
        <v>12321597.67</v>
      </c>
      <c r="J85" s="705">
        <f>+J87+J86</f>
        <v>4761921</v>
      </c>
      <c r="K85" s="705">
        <f>+K87+K86</f>
        <v>7559676.6699999999</v>
      </c>
      <c r="L85" s="705">
        <f>+L86+L87</f>
        <v>0</v>
      </c>
      <c r="M85" s="707">
        <f>+M87+M86</f>
        <v>0</v>
      </c>
      <c r="N85" s="704">
        <f>+N86+N87</f>
        <v>12321597.67</v>
      </c>
      <c r="O85" s="708">
        <f t="shared" si="112"/>
        <v>99.999997321775965</v>
      </c>
      <c r="P85" s="705">
        <f>+P87+P86</f>
        <v>0</v>
      </c>
      <c r="Q85" s="706">
        <v>0</v>
      </c>
      <c r="R85" s="705">
        <f t="shared" si="109"/>
        <v>0</v>
      </c>
      <c r="S85" s="2813"/>
      <c r="T85" s="537"/>
    </row>
    <row r="86" spans="1:20" hidden="1" x14ac:dyDescent="0.2">
      <c r="A86" s="2810"/>
      <c r="B86" s="696" t="s">
        <v>12</v>
      </c>
      <c r="C86" s="2816"/>
      <c r="D86" s="709">
        <f>+E86+F86+G86+H86</f>
        <v>0</v>
      </c>
      <c r="E86" s="698">
        <v>0</v>
      </c>
      <c r="F86" s="735">
        <v>0</v>
      </c>
      <c r="G86" s="735">
        <v>0</v>
      </c>
      <c r="H86" s="736">
        <v>0</v>
      </c>
      <c r="I86" s="709">
        <f>+J86+K86+L86+M86</f>
        <v>0</v>
      </c>
      <c r="J86" s="698">
        <v>0</v>
      </c>
      <c r="K86" s="735">
        <v>0</v>
      </c>
      <c r="L86" s="735">
        <v>0</v>
      </c>
      <c r="M86" s="736">
        <v>0</v>
      </c>
      <c r="N86" s="710">
        <f>J86+K86+P86</f>
        <v>0</v>
      </c>
      <c r="O86" s="735" t="e">
        <f t="shared" si="112"/>
        <v>#DIV/0!</v>
      </c>
      <c r="P86" s="698">
        <v>0</v>
      </c>
      <c r="Q86" s="735" t="e">
        <f t="shared" si="113"/>
        <v>#DIV/0!</v>
      </c>
      <c r="R86" s="698">
        <f t="shared" si="109"/>
        <v>0</v>
      </c>
      <c r="S86" s="2813"/>
      <c r="T86" s="537"/>
    </row>
    <row r="87" spans="1:20" ht="10.5" customHeight="1" x14ac:dyDescent="0.2">
      <c r="A87" s="2810"/>
      <c r="B87" s="696" t="s">
        <v>15</v>
      </c>
      <c r="C87" s="2816"/>
      <c r="D87" s="697">
        <f>++E87+F87+G87+H87</f>
        <v>12321598</v>
      </c>
      <c r="E87" s="699">
        <f>83205+290875+4387841</f>
        <v>4761921</v>
      </c>
      <c r="F87" s="733">
        <v>7559677</v>
      </c>
      <c r="G87" s="735">
        <v>0</v>
      </c>
      <c r="H87" s="736">
        <v>0</v>
      </c>
      <c r="I87" s="697">
        <f>++J87+K87+L87+M87</f>
        <v>12321597.67</v>
      </c>
      <c r="J87" s="699">
        <f>83205+290875+4387841</f>
        <v>4761921</v>
      </c>
      <c r="K87" s="733">
        <v>7559676.6699999999</v>
      </c>
      <c r="L87" s="733">
        <v>0</v>
      </c>
      <c r="M87" s="736">
        <v>0</v>
      </c>
      <c r="N87" s="701">
        <f>J87+K87+P87</f>
        <v>12321597.67</v>
      </c>
      <c r="O87" s="734">
        <f t="shared" si="112"/>
        <v>99.999997321775965</v>
      </c>
      <c r="P87" s="699">
        <v>0</v>
      </c>
      <c r="Q87" s="735">
        <v>0</v>
      </c>
      <c r="R87" s="699">
        <f t="shared" si="109"/>
        <v>0</v>
      </c>
      <c r="S87" s="2814"/>
      <c r="T87" s="537"/>
    </row>
    <row r="88" spans="1:20" x14ac:dyDescent="0.2">
      <c r="A88" s="2811"/>
      <c r="B88" s="683" t="s">
        <v>17</v>
      </c>
      <c r="C88" s="684"/>
      <c r="D88" s="685">
        <f t="shared" ref="D88:H88" si="118">+D91+D89</f>
        <v>24643195</v>
      </c>
      <c r="E88" s="753">
        <f t="shared" si="118"/>
        <v>8021359</v>
      </c>
      <c r="F88" s="753">
        <f t="shared" si="118"/>
        <v>15384264</v>
      </c>
      <c r="G88" s="753">
        <f t="shared" si="118"/>
        <v>1237572</v>
      </c>
      <c r="H88" s="754">
        <f t="shared" si="118"/>
        <v>0</v>
      </c>
      <c r="I88" s="685">
        <f t="shared" ref="I88:N88" si="119">+I91+I89</f>
        <v>24643195</v>
      </c>
      <c r="J88" s="753">
        <f t="shared" si="119"/>
        <v>8021359</v>
      </c>
      <c r="K88" s="753">
        <f>+K91+K89</f>
        <v>15384264</v>
      </c>
      <c r="L88" s="753">
        <f t="shared" si="119"/>
        <v>1237572</v>
      </c>
      <c r="M88" s="687">
        <f t="shared" si="119"/>
        <v>0</v>
      </c>
      <c r="N88" s="685">
        <f t="shared" si="119"/>
        <v>23405623</v>
      </c>
      <c r="O88" s="688">
        <f t="shared" si="112"/>
        <v>94.978037547485215</v>
      </c>
      <c r="P88" s="686">
        <f>+P91+P89</f>
        <v>0</v>
      </c>
      <c r="Q88" s="688">
        <f t="shared" si="113"/>
        <v>0</v>
      </c>
      <c r="R88" s="686">
        <f t="shared" si="109"/>
        <v>-1237572</v>
      </c>
      <c r="S88" s="2817" t="s">
        <v>47</v>
      </c>
      <c r="T88" s="537"/>
    </row>
    <row r="89" spans="1:20" x14ac:dyDescent="0.2">
      <c r="A89" s="2811"/>
      <c r="B89" s="689" t="s">
        <v>18</v>
      </c>
      <c r="C89" s="713"/>
      <c r="D89" s="755">
        <f t="shared" ref="D89:H89" si="120">D90</f>
        <v>12321597</v>
      </c>
      <c r="E89" s="756">
        <f t="shared" si="120"/>
        <v>4714241</v>
      </c>
      <c r="F89" s="756">
        <f t="shared" si="120"/>
        <v>6988570</v>
      </c>
      <c r="G89" s="756">
        <f t="shared" si="120"/>
        <v>618786</v>
      </c>
      <c r="H89" s="757">
        <f t="shared" si="120"/>
        <v>0</v>
      </c>
      <c r="I89" s="755">
        <f t="shared" ref="I89:N89" si="121">I90</f>
        <v>12321597</v>
      </c>
      <c r="J89" s="756">
        <f t="shared" si="121"/>
        <v>4714241</v>
      </c>
      <c r="K89" s="756">
        <f>K90</f>
        <v>6988570</v>
      </c>
      <c r="L89" s="756">
        <f t="shared" si="121"/>
        <v>618786</v>
      </c>
      <c r="M89" s="758">
        <f t="shared" si="121"/>
        <v>0</v>
      </c>
      <c r="N89" s="755">
        <f t="shared" si="121"/>
        <v>11702811</v>
      </c>
      <c r="O89" s="759">
        <f t="shared" si="112"/>
        <v>94.978037343698219</v>
      </c>
      <c r="P89" s="760">
        <f>P90</f>
        <v>0</v>
      </c>
      <c r="Q89" s="759">
        <f t="shared" si="113"/>
        <v>0</v>
      </c>
      <c r="R89" s="715">
        <f t="shared" si="109"/>
        <v>-618786</v>
      </c>
      <c r="S89" s="2769"/>
      <c r="T89" s="537"/>
    </row>
    <row r="90" spans="1:20" s="252" customFormat="1" x14ac:dyDescent="0.2">
      <c r="A90" s="2811"/>
      <c r="B90" s="696" t="s">
        <v>12</v>
      </c>
      <c r="C90" s="716"/>
      <c r="D90" s="697">
        <f>++E90+F90+G90+H90</f>
        <v>12321597</v>
      </c>
      <c r="E90" s="733">
        <v>4714241</v>
      </c>
      <c r="F90" s="733">
        <v>6988570</v>
      </c>
      <c r="G90" s="733">
        <v>618786</v>
      </c>
      <c r="H90" s="735">
        <v>0</v>
      </c>
      <c r="I90" s="697">
        <f>++J90+K90+L90+M90</f>
        <v>12321597</v>
      </c>
      <c r="J90" s="733">
        <v>4714241</v>
      </c>
      <c r="K90" s="733">
        <v>6988570</v>
      </c>
      <c r="L90" s="733">
        <v>618786</v>
      </c>
      <c r="M90" s="736">
        <v>0</v>
      </c>
      <c r="N90" s="701">
        <f>J90+K90+P90</f>
        <v>11702811</v>
      </c>
      <c r="O90" s="734">
        <f t="shared" si="112"/>
        <v>94.978037343698219</v>
      </c>
      <c r="P90" s="699">
        <v>0</v>
      </c>
      <c r="Q90" s="734">
        <f t="shared" si="113"/>
        <v>0</v>
      </c>
      <c r="R90" s="699">
        <f t="shared" si="109"/>
        <v>-618786</v>
      </c>
      <c r="S90" s="2769"/>
      <c r="T90" s="537"/>
    </row>
    <row r="91" spans="1:20" x14ac:dyDescent="0.2">
      <c r="A91" s="2811"/>
      <c r="B91" s="703" t="s">
        <v>13</v>
      </c>
      <c r="C91" s="2771" t="s">
        <v>42</v>
      </c>
      <c r="D91" s="704">
        <f>+D93+D92</f>
        <v>12321598</v>
      </c>
      <c r="E91" s="705">
        <f>+E93+E92</f>
        <v>3307118</v>
      </c>
      <c r="F91" s="705">
        <f>+F93+F92</f>
        <v>8395694</v>
      </c>
      <c r="G91" s="705">
        <f>+G92+G93</f>
        <v>618786</v>
      </c>
      <c r="H91" s="706">
        <f>+H93+H92</f>
        <v>0</v>
      </c>
      <c r="I91" s="704">
        <f>+I93+I92</f>
        <v>12321598</v>
      </c>
      <c r="J91" s="705">
        <f>+J93+J92</f>
        <v>3307118</v>
      </c>
      <c r="K91" s="705">
        <f>+K93+K92</f>
        <v>8395694</v>
      </c>
      <c r="L91" s="705">
        <f>+L92+L93</f>
        <v>618786</v>
      </c>
      <c r="M91" s="707">
        <f>+M93+M92</f>
        <v>0</v>
      </c>
      <c r="N91" s="704">
        <f>+N92+N93</f>
        <v>11702812</v>
      </c>
      <c r="O91" s="708">
        <f t="shared" si="112"/>
        <v>94.978037751272197</v>
      </c>
      <c r="P91" s="705">
        <f>+P93+P92</f>
        <v>0</v>
      </c>
      <c r="Q91" s="708">
        <f t="shared" si="113"/>
        <v>0</v>
      </c>
      <c r="R91" s="705">
        <f t="shared" si="109"/>
        <v>-618786</v>
      </c>
      <c r="S91" s="2769"/>
      <c r="T91" s="537"/>
    </row>
    <row r="92" spans="1:20" hidden="1" x14ac:dyDescent="0.2">
      <c r="A92" s="2811"/>
      <c r="B92" s="696" t="s">
        <v>12</v>
      </c>
      <c r="C92" s="2771"/>
      <c r="D92" s="709">
        <f>+E92+F92+G92+H92</f>
        <v>0</v>
      </c>
      <c r="E92" s="735">
        <v>0</v>
      </c>
      <c r="F92" s="735">
        <v>0</v>
      </c>
      <c r="G92" s="735">
        <v>0</v>
      </c>
      <c r="H92" s="735">
        <v>0</v>
      </c>
      <c r="I92" s="709">
        <f>+J92+K92+L92+M92</f>
        <v>0</v>
      </c>
      <c r="J92" s="735">
        <v>0</v>
      </c>
      <c r="K92" s="735">
        <v>0</v>
      </c>
      <c r="L92" s="735">
        <v>0</v>
      </c>
      <c r="M92" s="736">
        <v>0</v>
      </c>
      <c r="N92" s="710">
        <f>J92+K92+P92</f>
        <v>0</v>
      </c>
      <c r="O92" s="735" t="e">
        <f t="shared" si="112"/>
        <v>#DIV/0!</v>
      </c>
      <c r="P92" s="698">
        <v>0</v>
      </c>
      <c r="Q92" s="735" t="e">
        <f t="shared" si="113"/>
        <v>#DIV/0!</v>
      </c>
      <c r="R92" s="698">
        <f t="shared" si="109"/>
        <v>0</v>
      </c>
      <c r="S92" s="2769"/>
      <c r="T92" s="537"/>
    </row>
    <row r="93" spans="1:20" ht="12" customHeight="1" thickBot="1" x14ac:dyDescent="0.25">
      <c r="A93" s="2812"/>
      <c r="B93" s="717" t="s">
        <v>15</v>
      </c>
      <c r="C93" s="2818"/>
      <c r="D93" s="718">
        <f>+E93+F93+G93+H93</f>
        <v>12321598</v>
      </c>
      <c r="E93" s="720">
        <v>3307118</v>
      </c>
      <c r="F93" s="720">
        <v>8395694</v>
      </c>
      <c r="G93" s="720">
        <v>618786</v>
      </c>
      <c r="H93" s="719">
        <v>0</v>
      </c>
      <c r="I93" s="718">
        <f>+J93+K93+L93+M93</f>
        <v>12321598</v>
      </c>
      <c r="J93" s="720">
        <v>3307118</v>
      </c>
      <c r="K93" s="720">
        <v>8395694</v>
      </c>
      <c r="L93" s="720">
        <v>618786</v>
      </c>
      <c r="M93" s="761">
        <v>0</v>
      </c>
      <c r="N93" s="722">
        <f>J93+K93+P93</f>
        <v>11702812</v>
      </c>
      <c r="O93" s="723">
        <f t="shared" si="112"/>
        <v>94.978037751272197</v>
      </c>
      <c r="P93" s="720">
        <v>0</v>
      </c>
      <c r="Q93" s="723">
        <f t="shared" si="113"/>
        <v>0</v>
      </c>
      <c r="R93" s="720">
        <f t="shared" si="109"/>
        <v>-618786</v>
      </c>
      <c r="S93" s="2770"/>
      <c r="T93" s="537"/>
    </row>
    <row r="94" spans="1:20" s="726" customFormat="1" ht="27" customHeight="1" x14ac:dyDescent="0.2">
      <c r="A94" s="2809" t="s">
        <v>49</v>
      </c>
      <c r="B94" s="746" t="s">
        <v>328</v>
      </c>
      <c r="C94" s="676" t="s">
        <v>225</v>
      </c>
      <c r="D94" s="680"/>
      <c r="E94" s="678"/>
      <c r="F94" s="678"/>
      <c r="G94" s="678"/>
      <c r="H94" s="679"/>
      <c r="I94" s="680"/>
      <c r="J94" s="678"/>
      <c r="K94" s="678"/>
      <c r="L94" s="678"/>
      <c r="M94" s="679"/>
      <c r="N94" s="680"/>
      <c r="O94" s="681"/>
      <c r="P94" s="678"/>
      <c r="Q94" s="681"/>
      <c r="R94" s="678"/>
      <c r="S94" s="682" t="s">
        <v>44</v>
      </c>
      <c r="T94" s="537"/>
    </row>
    <row r="95" spans="1:20" s="726" customFormat="1" x14ac:dyDescent="0.2">
      <c r="A95" s="2810"/>
      <c r="B95" s="683" t="s">
        <v>3</v>
      </c>
      <c r="C95" s="684"/>
      <c r="D95" s="727">
        <f t="shared" ref="D95:H95" si="122">+D96+D100</f>
        <v>39511921</v>
      </c>
      <c r="E95" s="728">
        <f t="shared" si="122"/>
        <v>13836080</v>
      </c>
      <c r="F95" s="728">
        <f t="shared" si="122"/>
        <v>25505841</v>
      </c>
      <c r="G95" s="728">
        <f t="shared" si="122"/>
        <v>170000</v>
      </c>
      <c r="H95" s="747">
        <f t="shared" si="122"/>
        <v>0</v>
      </c>
      <c r="I95" s="727">
        <f t="shared" ref="I95:N95" si="123">+I96+I100</f>
        <v>39511920.810000002</v>
      </c>
      <c r="J95" s="728">
        <f t="shared" si="123"/>
        <v>13836080</v>
      </c>
      <c r="K95" s="728">
        <f>+K96+K100</f>
        <v>25505840.809999999</v>
      </c>
      <c r="L95" s="728">
        <f t="shared" si="123"/>
        <v>170000</v>
      </c>
      <c r="M95" s="748">
        <f t="shared" si="123"/>
        <v>0</v>
      </c>
      <c r="N95" s="727">
        <f t="shared" si="123"/>
        <v>39343550.810000002</v>
      </c>
      <c r="O95" s="729">
        <f t="shared" si="112"/>
        <v>99.573874957889302</v>
      </c>
      <c r="P95" s="728">
        <f>+P96+P100</f>
        <v>1630</v>
      </c>
      <c r="Q95" s="729">
        <f t="shared" si="113"/>
        <v>0.95882352941176474</v>
      </c>
      <c r="R95" s="728">
        <f t="shared" si="109"/>
        <v>-168370</v>
      </c>
      <c r="S95" s="2813" t="s">
        <v>45</v>
      </c>
      <c r="T95" s="537"/>
    </row>
    <row r="96" spans="1:20" s="726" customFormat="1" ht="12" customHeight="1" x14ac:dyDescent="0.2">
      <c r="A96" s="2810"/>
      <c r="B96" s="689" t="s">
        <v>18</v>
      </c>
      <c r="C96" s="2815" t="s">
        <v>46</v>
      </c>
      <c r="D96" s="749">
        <f t="shared" ref="D96:H96" si="124">+D97+D99+D98</f>
        <v>10965905</v>
      </c>
      <c r="E96" s="750">
        <f t="shared" si="124"/>
        <v>6875976</v>
      </c>
      <c r="F96" s="750">
        <f t="shared" si="124"/>
        <v>3919929</v>
      </c>
      <c r="G96" s="750">
        <f t="shared" si="124"/>
        <v>170000</v>
      </c>
      <c r="H96" s="751">
        <f t="shared" si="124"/>
        <v>0</v>
      </c>
      <c r="I96" s="749">
        <f t="shared" ref="I96:N96" si="125">+I97+I99+I98</f>
        <v>10965905.199999999</v>
      </c>
      <c r="J96" s="750">
        <f t="shared" si="125"/>
        <v>6875976</v>
      </c>
      <c r="K96" s="750">
        <f>+K97+K99+K98</f>
        <v>3919929.2</v>
      </c>
      <c r="L96" s="750">
        <f t="shared" si="125"/>
        <v>170000</v>
      </c>
      <c r="M96" s="752">
        <f t="shared" si="125"/>
        <v>0</v>
      </c>
      <c r="N96" s="749">
        <f t="shared" si="125"/>
        <v>10797535.199999999</v>
      </c>
      <c r="O96" s="732">
        <f t="shared" si="112"/>
        <v>98.464606432392031</v>
      </c>
      <c r="P96" s="750">
        <f>+P97+P99+P98</f>
        <v>1630</v>
      </c>
      <c r="Q96" s="732">
        <f t="shared" si="113"/>
        <v>0.95882352941176474</v>
      </c>
      <c r="R96" s="731">
        <f t="shared" si="109"/>
        <v>-168370</v>
      </c>
      <c r="S96" s="2813"/>
      <c r="T96" s="537"/>
    </row>
    <row r="97" spans="1:20" s="726" customFormat="1" ht="12" customHeight="1" x14ac:dyDescent="0.2">
      <c r="A97" s="2810"/>
      <c r="B97" s="696" t="s">
        <v>5</v>
      </c>
      <c r="C97" s="2816"/>
      <c r="D97" s="697">
        <f>++E97+F97+G97+H97</f>
        <v>4117950</v>
      </c>
      <c r="E97" s="699">
        <f>23116+41387+1065648</f>
        <v>1130151</v>
      </c>
      <c r="F97" s="699">
        <v>2817799</v>
      </c>
      <c r="G97" s="699">
        <v>170000</v>
      </c>
      <c r="H97" s="735">
        <v>0</v>
      </c>
      <c r="I97" s="697">
        <f>++J97+K97+L97+M97</f>
        <v>4117949.74</v>
      </c>
      <c r="J97" s="699">
        <f>23116+41387+1065648</f>
        <v>1130151</v>
      </c>
      <c r="K97" s="699">
        <f>2467798.74+350000</f>
        <v>2817798.74</v>
      </c>
      <c r="L97" s="699">
        <v>170000</v>
      </c>
      <c r="M97" s="736">
        <v>0</v>
      </c>
      <c r="N97" s="762">
        <f>J97+K97+P97</f>
        <v>3949579.74</v>
      </c>
      <c r="O97" s="702">
        <f t="shared" si="112"/>
        <v>95.911308782282461</v>
      </c>
      <c r="P97" s="699">
        <v>1630</v>
      </c>
      <c r="Q97" s="702">
        <f t="shared" si="113"/>
        <v>0.95882352941176474</v>
      </c>
      <c r="R97" s="733">
        <f t="shared" si="109"/>
        <v>-168370</v>
      </c>
      <c r="S97" s="2813"/>
      <c r="T97" s="537"/>
    </row>
    <row r="98" spans="1:20" s="726" customFormat="1" ht="12" customHeight="1" x14ac:dyDescent="0.2">
      <c r="A98" s="2810"/>
      <c r="B98" s="696" t="s">
        <v>10</v>
      </c>
      <c r="C98" s="2816"/>
      <c r="D98" s="697">
        <f>++E98+F98+G98+H98</f>
        <v>24600</v>
      </c>
      <c r="E98" s="735">
        <v>0</v>
      </c>
      <c r="F98" s="699">
        <v>24600</v>
      </c>
      <c r="G98" s="698">
        <v>0</v>
      </c>
      <c r="H98" s="700">
        <v>0</v>
      </c>
      <c r="I98" s="697">
        <f>++J98+K98+L98+M98</f>
        <v>24600</v>
      </c>
      <c r="J98" s="735">
        <v>0</v>
      </c>
      <c r="K98" s="699">
        <v>24600</v>
      </c>
      <c r="L98" s="698">
        <v>0</v>
      </c>
      <c r="M98" s="700">
        <v>0</v>
      </c>
      <c r="N98" s="762">
        <f>J98+K98+P98</f>
        <v>24600</v>
      </c>
      <c r="O98" s="702">
        <f t="shared" si="112"/>
        <v>100</v>
      </c>
      <c r="P98" s="698">
        <v>0</v>
      </c>
      <c r="Q98" s="698">
        <v>0</v>
      </c>
      <c r="R98" s="733">
        <f t="shared" si="109"/>
        <v>0</v>
      </c>
      <c r="S98" s="2813"/>
      <c r="T98" s="537"/>
    </row>
    <row r="99" spans="1:20" s="737" customFormat="1" ht="12" customHeight="1" x14ac:dyDescent="0.2">
      <c r="A99" s="2810"/>
      <c r="B99" s="696" t="s">
        <v>12</v>
      </c>
      <c r="C99" s="2816"/>
      <c r="D99" s="697">
        <f>+E99+F99+G99+H99</f>
        <v>6823355</v>
      </c>
      <c r="E99" s="699">
        <f>16111+100523+5629191</f>
        <v>5745825</v>
      </c>
      <c r="F99" s="699">
        <v>1077530</v>
      </c>
      <c r="G99" s="698">
        <v>0</v>
      </c>
      <c r="H99" s="700">
        <v>0</v>
      </c>
      <c r="I99" s="697">
        <f>+J99+K99+L99+M99</f>
        <v>6823355.46</v>
      </c>
      <c r="J99" s="699">
        <f>16111+100523+5629191</f>
        <v>5745825</v>
      </c>
      <c r="K99" s="699">
        <f>640698.24+436832.22</f>
        <v>1077530.46</v>
      </c>
      <c r="L99" s="698">
        <v>0</v>
      </c>
      <c r="M99" s="700">
        <v>0</v>
      </c>
      <c r="N99" s="762">
        <f>J99+K99+P99</f>
        <v>6823355.46</v>
      </c>
      <c r="O99" s="702">
        <f t="shared" si="112"/>
        <v>100.00000674155163</v>
      </c>
      <c r="P99" s="698">
        <v>0</v>
      </c>
      <c r="Q99" s="698">
        <v>0</v>
      </c>
      <c r="R99" s="733">
        <f t="shared" si="109"/>
        <v>0</v>
      </c>
      <c r="S99" s="2813"/>
      <c r="T99" s="537"/>
    </row>
    <row r="100" spans="1:20" s="726" customFormat="1" ht="12" customHeight="1" x14ac:dyDescent="0.2">
      <c r="A100" s="2810"/>
      <c r="B100" s="703" t="s">
        <v>13</v>
      </c>
      <c r="C100" s="2816"/>
      <c r="D100" s="704">
        <f>+D102+D101</f>
        <v>28546016</v>
      </c>
      <c r="E100" s="705">
        <f>+E102+E101</f>
        <v>6960104</v>
      </c>
      <c r="F100" s="705">
        <f>+F102+F101</f>
        <v>21585912</v>
      </c>
      <c r="G100" s="706">
        <f>++G101+G102</f>
        <v>0</v>
      </c>
      <c r="H100" s="707">
        <f>+H102+H101</f>
        <v>0</v>
      </c>
      <c r="I100" s="704">
        <f>+I102+I101</f>
        <v>28546015.609999999</v>
      </c>
      <c r="J100" s="705">
        <f>+J102+J101</f>
        <v>6960104</v>
      </c>
      <c r="K100" s="705">
        <f>+K102+K101</f>
        <v>21585911.609999999</v>
      </c>
      <c r="L100" s="706">
        <f>++L101+L102</f>
        <v>0</v>
      </c>
      <c r="M100" s="707">
        <f>+M102+M101</f>
        <v>0</v>
      </c>
      <c r="N100" s="704">
        <f>+N101+N102</f>
        <v>28546015.609999999</v>
      </c>
      <c r="O100" s="708">
        <f t="shared" si="112"/>
        <v>99.999998633784841</v>
      </c>
      <c r="P100" s="706">
        <f>+P102+P101</f>
        <v>0</v>
      </c>
      <c r="Q100" s="706">
        <v>0</v>
      </c>
      <c r="R100" s="705">
        <f t="shared" si="109"/>
        <v>0</v>
      </c>
      <c r="S100" s="2813"/>
      <c r="T100" s="537"/>
    </row>
    <row r="101" spans="1:20" s="726" customFormat="1" ht="12" hidden="1" customHeight="1" x14ac:dyDescent="0.2">
      <c r="A101" s="2810"/>
      <c r="B101" s="696" t="s">
        <v>12</v>
      </c>
      <c r="C101" s="2816"/>
      <c r="D101" s="709">
        <f>+E101+F101+G101+H101</f>
        <v>0</v>
      </c>
      <c r="E101" s="698">
        <v>0</v>
      </c>
      <c r="F101" s="735">
        <v>0</v>
      </c>
      <c r="G101" s="735">
        <v>0</v>
      </c>
      <c r="H101" s="736">
        <v>0</v>
      </c>
      <c r="I101" s="709">
        <f>+J101+K101+L101+M101</f>
        <v>0</v>
      </c>
      <c r="J101" s="698">
        <v>0</v>
      </c>
      <c r="K101" s="735">
        <v>0</v>
      </c>
      <c r="L101" s="735">
        <v>0</v>
      </c>
      <c r="M101" s="736">
        <v>0</v>
      </c>
      <c r="N101" s="710">
        <f>J101+K101+P101</f>
        <v>0</v>
      </c>
      <c r="O101" s="735" t="e">
        <f t="shared" si="112"/>
        <v>#DIV/0!</v>
      </c>
      <c r="P101" s="735">
        <v>0</v>
      </c>
      <c r="Q101" s="735" t="e">
        <f t="shared" si="113"/>
        <v>#DIV/0!</v>
      </c>
      <c r="R101" s="698">
        <f t="shared" si="109"/>
        <v>0</v>
      </c>
      <c r="S101" s="2813"/>
      <c r="T101" s="537"/>
    </row>
    <row r="102" spans="1:20" s="726" customFormat="1" ht="12" customHeight="1" x14ac:dyDescent="0.2">
      <c r="A102" s="2810"/>
      <c r="B102" s="696" t="s">
        <v>15</v>
      </c>
      <c r="C102" s="2816"/>
      <c r="D102" s="697">
        <f>+E102+F102+G102+H102</f>
        <v>28546016</v>
      </c>
      <c r="E102" s="699">
        <f>67256+419620+6473228</f>
        <v>6960104</v>
      </c>
      <c r="F102" s="699">
        <v>21585912</v>
      </c>
      <c r="G102" s="698">
        <v>0</v>
      </c>
      <c r="H102" s="700">
        <v>0</v>
      </c>
      <c r="I102" s="697">
        <f>+J102+K102+L102+M102</f>
        <v>28546015.609999999</v>
      </c>
      <c r="J102" s="699">
        <f>67256+419620+6473228</f>
        <v>6960104</v>
      </c>
      <c r="K102" s="699">
        <v>21585911.609999999</v>
      </c>
      <c r="L102" s="698">
        <v>0</v>
      </c>
      <c r="M102" s="700">
        <v>0</v>
      </c>
      <c r="N102" s="762">
        <f>J102+K102+P102</f>
        <v>28546015.609999999</v>
      </c>
      <c r="O102" s="702">
        <f t="shared" si="112"/>
        <v>99.999998633784841</v>
      </c>
      <c r="P102" s="698">
        <v>0</v>
      </c>
      <c r="Q102" s="698">
        <v>0</v>
      </c>
      <c r="R102" s="733">
        <f t="shared" si="109"/>
        <v>0</v>
      </c>
      <c r="S102" s="2814"/>
      <c r="T102" s="537"/>
    </row>
    <row r="103" spans="1:20" s="726" customFormat="1" x14ac:dyDescent="0.2">
      <c r="A103" s="2811"/>
      <c r="B103" s="683" t="s">
        <v>17</v>
      </c>
      <c r="C103" s="684"/>
      <c r="D103" s="685">
        <f t="shared" ref="D103:H103" si="126">+D107+D104</f>
        <v>35393971</v>
      </c>
      <c r="E103" s="753">
        <f t="shared" si="126"/>
        <v>7901349</v>
      </c>
      <c r="F103" s="753">
        <f t="shared" si="126"/>
        <v>25067751</v>
      </c>
      <c r="G103" s="753">
        <f t="shared" si="126"/>
        <v>2424871</v>
      </c>
      <c r="H103" s="763">
        <f t="shared" si="126"/>
        <v>0</v>
      </c>
      <c r="I103" s="685">
        <f t="shared" ref="I103:N103" si="127">+I107+I104</f>
        <v>35393971</v>
      </c>
      <c r="J103" s="753">
        <f t="shared" ref="J103" si="128">+J107+J104</f>
        <v>7901349</v>
      </c>
      <c r="K103" s="753">
        <f>+K107+K104</f>
        <v>25067751</v>
      </c>
      <c r="L103" s="753">
        <f t="shared" si="127"/>
        <v>2424871</v>
      </c>
      <c r="M103" s="764">
        <f t="shared" si="127"/>
        <v>0</v>
      </c>
      <c r="N103" s="685">
        <f t="shared" si="127"/>
        <v>32969100</v>
      </c>
      <c r="O103" s="688">
        <f t="shared" si="112"/>
        <v>93.148915107604054</v>
      </c>
      <c r="P103" s="686">
        <f>+P107+P104</f>
        <v>0</v>
      </c>
      <c r="Q103" s="688">
        <f t="shared" si="113"/>
        <v>0</v>
      </c>
      <c r="R103" s="686">
        <f t="shared" si="109"/>
        <v>-2424871</v>
      </c>
      <c r="S103" s="2817" t="s">
        <v>47</v>
      </c>
      <c r="T103" s="537"/>
    </row>
    <row r="104" spans="1:20" s="726" customFormat="1" x14ac:dyDescent="0.2">
      <c r="A104" s="2811"/>
      <c r="B104" s="689" t="s">
        <v>18</v>
      </c>
      <c r="C104" s="713"/>
      <c r="D104" s="760">
        <f>D106+D105</f>
        <v>6847955</v>
      </c>
      <c r="E104" s="760">
        <f t="shared" ref="E104:H104" si="129">E106+E105</f>
        <v>4171661</v>
      </c>
      <c r="F104" s="760">
        <f t="shared" si="129"/>
        <v>2219807</v>
      </c>
      <c r="G104" s="760">
        <f t="shared" si="129"/>
        <v>456487</v>
      </c>
      <c r="H104" s="765">
        <f t="shared" si="129"/>
        <v>0</v>
      </c>
      <c r="I104" s="766">
        <f>I106+I105</f>
        <v>6847955</v>
      </c>
      <c r="J104" s="760">
        <f t="shared" ref="J104:K104" si="130">J106+J105</f>
        <v>4171661</v>
      </c>
      <c r="K104" s="760">
        <f t="shared" si="130"/>
        <v>2219807</v>
      </c>
      <c r="L104" s="760">
        <f t="shared" ref="L104:P104" si="131">L106+L105</f>
        <v>456487</v>
      </c>
      <c r="M104" s="765">
        <f t="shared" si="131"/>
        <v>0</v>
      </c>
      <c r="N104" s="767">
        <f t="shared" si="131"/>
        <v>6391468</v>
      </c>
      <c r="O104" s="759">
        <f t="shared" si="112"/>
        <v>93.333966125653561</v>
      </c>
      <c r="P104" s="760">
        <f t="shared" si="131"/>
        <v>0</v>
      </c>
      <c r="Q104" s="759">
        <f t="shared" si="113"/>
        <v>0</v>
      </c>
      <c r="R104" s="760">
        <f t="shared" si="109"/>
        <v>-456487</v>
      </c>
      <c r="S104" s="2769"/>
      <c r="T104" s="537"/>
    </row>
    <row r="105" spans="1:20" s="726" customFormat="1" x14ac:dyDescent="0.2">
      <c r="A105" s="2811"/>
      <c r="B105" s="696" t="s">
        <v>10</v>
      </c>
      <c r="C105" s="713"/>
      <c r="D105" s="697">
        <f>++E105+F105+G105+H105</f>
        <v>24600</v>
      </c>
      <c r="E105" s="735">
        <v>0</v>
      </c>
      <c r="F105" s="768">
        <v>24600</v>
      </c>
      <c r="G105" s="769">
        <v>0</v>
      </c>
      <c r="H105" s="770">
        <v>0</v>
      </c>
      <c r="I105" s="697">
        <f>++J105+K105+L105+M105</f>
        <v>24600</v>
      </c>
      <c r="J105" s="735">
        <v>0</v>
      </c>
      <c r="K105" s="768">
        <f>374600-350000</f>
        <v>24600</v>
      </c>
      <c r="L105" s="769">
        <v>0</v>
      </c>
      <c r="M105" s="770">
        <v>0</v>
      </c>
      <c r="N105" s="762">
        <f>J105+K105+P105</f>
        <v>24600</v>
      </c>
      <c r="O105" s="771">
        <f t="shared" si="112"/>
        <v>100</v>
      </c>
      <c r="P105" s="742">
        <v>0</v>
      </c>
      <c r="Q105" s="772">
        <v>0</v>
      </c>
      <c r="R105" s="733">
        <f t="shared" si="109"/>
        <v>0</v>
      </c>
      <c r="S105" s="2769"/>
      <c r="T105" s="537"/>
    </row>
    <row r="106" spans="1:20" s="737" customFormat="1" x14ac:dyDescent="0.2">
      <c r="A106" s="2811"/>
      <c r="B106" s="696" t="s">
        <v>12</v>
      </c>
      <c r="C106" s="716"/>
      <c r="D106" s="697">
        <f>++E106+F106+G106+H106</f>
        <v>6823355</v>
      </c>
      <c r="E106" s="773">
        <v>4171661</v>
      </c>
      <c r="F106" s="773">
        <v>2195207</v>
      </c>
      <c r="G106" s="773">
        <v>456487</v>
      </c>
      <c r="H106" s="698">
        <v>0</v>
      </c>
      <c r="I106" s="697">
        <f>++J106+K106+L106+M106</f>
        <v>6823355</v>
      </c>
      <c r="J106" s="773">
        <v>4171661</v>
      </c>
      <c r="K106" s="773">
        <v>2195207</v>
      </c>
      <c r="L106" s="773">
        <v>456487</v>
      </c>
      <c r="M106" s="700">
        <v>0</v>
      </c>
      <c r="N106" s="762">
        <f>J106+K106+P106</f>
        <v>6366868</v>
      </c>
      <c r="O106" s="771">
        <f t="shared" si="112"/>
        <v>93.309933309933314</v>
      </c>
      <c r="P106" s="773">
        <v>0</v>
      </c>
      <c r="Q106" s="771">
        <f t="shared" si="113"/>
        <v>0</v>
      </c>
      <c r="R106" s="733">
        <f t="shared" si="109"/>
        <v>-456487</v>
      </c>
      <c r="S106" s="2769"/>
      <c r="T106" s="537"/>
    </row>
    <row r="107" spans="1:20" s="726" customFormat="1" ht="12" customHeight="1" x14ac:dyDescent="0.2">
      <c r="A107" s="2811"/>
      <c r="B107" s="703" t="s">
        <v>13</v>
      </c>
      <c r="C107" s="2771" t="s">
        <v>42</v>
      </c>
      <c r="D107" s="774">
        <f>+D109+D108</f>
        <v>28546016</v>
      </c>
      <c r="E107" s="775">
        <f>+E109+E108</f>
        <v>3729688</v>
      </c>
      <c r="F107" s="776">
        <f>+F108+F109</f>
        <v>22847944</v>
      </c>
      <c r="G107" s="776">
        <f>+G108+G109</f>
        <v>1968384</v>
      </c>
      <c r="H107" s="777">
        <f>+H109+H108</f>
        <v>0</v>
      </c>
      <c r="I107" s="774">
        <f>+I109+I108</f>
        <v>28546016</v>
      </c>
      <c r="J107" s="775">
        <f>+J109+J108</f>
        <v>3729688</v>
      </c>
      <c r="K107" s="776">
        <f>+K109+K108</f>
        <v>22847944</v>
      </c>
      <c r="L107" s="776">
        <f>+L108+L109</f>
        <v>1968384</v>
      </c>
      <c r="M107" s="778">
        <f>+M109+M108</f>
        <v>0</v>
      </c>
      <c r="N107" s="774">
        <f>+N108+N109</f>
        <v>26577632</v>
      </c>
      <c r="O107" s="779">
        <f t="shared" si="112"/>
        <v>93.104522886836477</v>
      </c>
      <c r="P107" s="775">
        <f>+P109+P108</f>
        <v>0</v>
      </c>
      <c r="Q107" s="779">
        <f t="shared" si="113"/>
        <v>0</v>
      </c>
      <c r="R107" s="775">
        <f t="shared" si="109"/>
        <v>-1968384</v>
      </c>
      <c r="S107" s="2769"/>
      <c r="T107" s="537"/>
    </row>
    <row r="108" spans="1:20" s="726" customFormat="1" ht="12" hidden="1" customHeight="1" x14ac:dyDescent="0.2">
      <c r="A108" s="2811"/>
      <c r="B108" s="696" t="s">
        <v>12</v>
      </c>
      <c r="C108" s="2771"/>
      <c r="D108" s="709">
        <f>+E108+F108+G108+H108</f>
        <v>0</v>
      </c>
      <c r="E108" s="735">
        <v>0</v>
      </c>
      <c r="F108" s="698">
        <v>0</v>
      </c>
      <c r="G108" s="698">
        <v>0</v>
      </c>
      <c r="H108" s="698">
        <v>0</v>
      </c>
      <c r="I108" s="709">
        <f>+J108+K108+L108+M108</f>
        <v>0</v>
      </c>
      <c r="J108" s="735">
        <v>0</v>
      </c>
      <c r="K108" s="698">
        <v>0</v>
      </c>
      <c r="L108" s="698">
        <v>0</v>
      </c>
      <c r="M108" s="700">
        <v>0</v>
      </c>
      <c r="N108" s="710">
        <f>J108+K108+P108</f>
        <v>0</v>
      </c>
      <c r="O108" s="735" t="e">
        <f t="shared" si="112"/>
        <v>#DIV/0!</v>
      </c>
      <c r="P108" s="698">
        <v>0</v>
      </c>
      <c r="Q108" s="735" t="e">
        <f t="shared" si="113"/>
        <v>#DIV/0!</v>
      </c>
      <c r="R108" s="698">
        <f t="shared" si="109"/>
        <v>0</v>
      </c>
      <c r="S108" s="2769"/>
      <c r="T108" s="537"/>
    </row>
    <row r="109" spans="1:20" s="726" customFormat="1" ht="12" customHeight="1" thickBot="1" x14ac:dyDescent="0.25">
      <c r="A109" s="2812"/>
      <c r="B109" s="780" t="s">
        <v>15</v>
      </c>
      <c r="C109" s="2818"/>
      <c r="D109" s="718">
        <f>+E109+F109+G109+H109</f>
        <v>28546016</v>
      </c>
      <c r="E109" s="781">
        <v>3729688</v>
      </c>
      <c r="F109" s="781">
        <v>22847944</v>
      </c>
      <c r="G109" s="781">
        <v>1968384</v>
      </c>
      <c r="H109" s="782">
        <v>0</v>
      </c>
      <c r="I109" s="718">
        <f>+J109+K109+L109+M109</f>
        <v>28546016</v>
      </c>
      <c r="J109" s="781">
        <v>3729688</v>
      </c>
      <c r="K109" s="781">
        <v>22847944</v>
      </c>
      <c r="L109" s="781">
        <v>1968384</v>
      </c>
      <c r="M109" s="783">
        <v>0</v>
      </c>
      <c r="N109" s="784">
        <f>J109+K109+P109</f>
        <v>26577632</v>
      </c>
      <c r="O109" s="785">
        <f t="shared" si="112"/>
        <v>93.104522886836477</v>
      </c>
      <c r="P109" s="781">
        <v>0</v>
      </c>
      <c r="Q109" s="785">
        <f t="shared" si="113"/>
        <v>0</v>
      </c>
      <c r="R109" s="786">
        <f t="shared" si="109"/>
        <v>-1968384</v>
      </c>
      <c r="S109" s="2770"/>
      <c r="T109" s="537"/>
    </row>
    <row r="110" spans="1:20" s="726" customFormat="1" ht="28.5" customHeight="1" x14ac:dyDescent="0.2">
      <c r="A110" s="2809" t="s">
        <v>51</v>
      </c>
      <c r="B110" s="746" t="s">
        <v>329</v>
      </c>
      <c r="C110" s="676" t="s">
        <v>225</v>
      </c>
      <c r="D110" s="680"/>
      <c r="E110" s="678"/>
      <c r="F110" s="678"/>
      <c r="G110" s="678"/>
      <c r="H110" s="679"/>
      <c r="I110" s="680"/>
      <c r="J110" s="678"/>
      <c r="K110" s="678"/>
      <c r="L110" s="678"/>
      <c r="M110" s="679"/>
      <c r="N110" s="680"/>
      <c r="O110" s="681"/>
      <c r="P110" s="678"/>
      <c r="Q110" s="681"/>
      <c r="R110" s="678"/>
      <c r="S110" s="682" t="s">
        <v>44</v>
      </c>
      <c r="T110" s="537"/>
    </row>
    <row r="111" spans="1:20" s="726" customFormat="1" x14ac:dyDescent="0.2">
      <c r="A111" s="2810"/>
      <c r="B111" s="787" t="s">
        <v>3</v>
      </c>
      <c r="C111" s="788"/>
      <c r="D111" s="727">
        <f t="shared" ref="D111:H111" si="132">+D112+D116</f>
        <v>39062642</v>
      </c>
      <c r="E111" s="728">
        <f t="shared" si="132"/>
        <v>25786998</v>
      </c>
      <c r="F111" s="728">
        <f t="shared" si="132"/>
        <v>13209644</v>
      </c>
      <c r="G111" s="728">
        <f t="shared" si="132"/>
        <v>66000</v>
      </c>
      <c r="H111" s="747">
        <f t="shared" si="132"/>
        <v>0</v>
      </c>
      <c r="I111" s="727">
        <f t="shared" ref="I111:M111" si="133">+I112+I116</f>
        <v>39062642.009999998</v>
      </c>
      <c r="J111" s="728">
        <f t="shared" si="133"/>
        <v>25786998</v>
      </c>
      <c r="K111" s="728">
        <f>+K112+K116</f>
        <v>13209644.01</v>
      </c>
      <c r="L111" s="728">
        <f t="shared" si="133"/>
        <v>66000</v>
      </c>
      <c r="M111" s="748">
        <f t="shared" si="133"/>
        <v>0</v>
      </c>
      <c r="N111" s="727">
        <f>+N112+N116</f>
        <v>38997002.009999998</v>
      </c>
      <c r="O111" s="729">
        <f t="shared" si="112"/>
        <v>99.831962236450877</v>
      </c>
      <c r="P111" s="728">
        <f>+P112+P116</f>
        <v>360</v>
      </c>
      <c r="Q111" s="729">
        <f t="shared" si="113"/>
        <v>0.54545454545454553</v>
      </c>
      <c r="R111" s="728">
        <f t="shared" si="109"/>
        <v>-65640</v>
      </c>
      <c r="S111" s="2813" t="s">
        <v>45</v>
      </c>
      <c r="T111" s="537"/>
    </row>
    <row r="112" spans="1:20" s="726" customFormat="1" ht="13.5" customHeight="1" x14ac:dyDescent="0.2">
      <c r="A112" s="2810"/>
      <c r="B112" s="789" t="s">
        <v>18</v>
      </c>
      <c r="C112" s="2820" t="s">
        <v>46</v>
      </c>
      <c r="D112" s="790">
        <f t="shared" ref="D112:H112" si="134">+D113+D115+D114</f>
        <v>19761553</v>
      </c>
      <c r="E112" s="791">
        <f t="shared" si="134"/>
        <v>17560356</v>
      </c>
      <c r="F112" s="791">
        <f t="shared" si="134"/>
        <v>2135197</v>
      </c>
      <c r="G112" s="791">
        <f t="shared" si="134"/>
        <v>66000</v>
      </c>
      <c r="H112" s="792">
        <f t="shared" si="134"/>
        <v>0</v>
      </c>
      <c r="I112" s="790">
        <f t="shared" ref="I112:N112" si="135">+I113+I115+I114</f>
        <v>19761553</v>
      </c>
      <c r="J112" s="791">
        <f t="shared" si="135"/>
        <v>17560356</v>
      </c>
      <c r="K112" s="791">
        <f>+K113+K115+K114</f>
        <v>2135197</v>
      </c>
      <c r="L112" s="791">
        <f t="shared" si="135"/>
        <v>66000</v>
      </c>
      <c r="M112" s="752">
        <f t="shared" si="135"/>
        <v>0</v>
      </c>
      <c r="N112" s="790">
        <f t="shared" si="135"/>
        <v>19695913</v>
      </c>
      <c r="O112" s="793">
        <f t="shared" si="112"/>
        <v>99.667839870682229</v>
      </c>
      <c r="P112" s="794">
        <f>+P113+P115+P114</f>
        <v>360</v>
      </c>
      <c r="Q112" s="793">
        <f t="shared" si="113"/>
        <v>0.54545454545454553</v>
      </c>
      <c r="R112" s="791">
        <f t="shared" si="109"/>
        <v>-65640</v>
      </c>
      <c r="S112" s="2813"/>
      <c r="T112" s="537"/>
    </row>
    <row r="113" spans="1:20" s="726" customFormat="1" ht="13.5" customHeight="1" x14ac:dyDescent="0.2">
      <c r="A113" s="2810"/>
      <c r="B113" s="696" t="s">
        <v>5</v>
      </c>
      <c r="C113" s="2821"/>
      <c r="D113" s="697">
        <f>++E113+F113+G113+H113</f>
        <v>427151</v>
      </c>
      <c r="E113" s="699">
        <f>105401+7687</f>
        <v>113088</v>
      </c>
      <c r="F113" s="699">
        <v>248063</v>
      </c>
      <c r="G113" s="733">
        <v>66000</v>
      </c>
      <c r="H113" s="735">
        <v>0</v>
      </c>
      <c r="I113" s="697">
        <f>++J113+K113+L113+M113</f>
        <v>427150.7</v>
      </c>
      <c r="J113" s="699">
        <f>105401+7687</f>
        <v>113088</v>
      </c>
      <c r="K113" s="699">
        <v>248062.7</v>
      </c>
      <c r="L113" s="733">
        <v>66000</v>
      </c>
      <c r="M113" s="736">
        <v>0</v>
      </c>
      <c r="N113" s="762">
        <f>J113+K113+P113</f>
        <v>361510.7</v>
      </c>
      <c r="O113" s="702">
        <f t="shared" si="112"/>
        <v>84.632998635143082</v>
      </c>
      <c r="P113" s="699">
        <v>360</v>
      </c>
      <c r="Q113" s="702">
        <f t="shared" si="113"/>
        <v>0.54545454545454553</v>
      </c>
      <c r="R113" s="733">
        <f t="shared" si="109"/>
        <v>-65640</v>
      </c>
      <c r="S113" s="2813"/>
      <c r="T113" s="537"/>
    </row>
    <row r="114" spans="1:20" s="726" customFormat="1" ht="13.5" customHeight="1" x14ac:dyDescent="0.2">
      <c r="A114" s="2810"/>
      <c r="B114" s="696" t="s">
        <v>10</v>
      </c>
      <c r="C114" s="2821"/>
      <c r="D114" s="697">
        <f>++E114+F114+G114+H114</f>
        <v>33313</v>
      </c>
      <c r="E114" s="698">
        <v>0</v>
      </c>
      <c r="F114" s="733">
        <v>33313</v>
      </c>
      <c r="G114" s="735">
        <v>0</v>
      </c>
      <c r="H114" s="700">
        <v>0</v>
      </c>
      <c r="I114" s="697">
        <f>++J114+K114+L114+M114</f>
        <v>33313.07</v>
      </c>
      <c r="J114" s="698">
        <v>0</v>
      </c>
      <c r="K114" s="733">
        <v>33313.07</v>
      </c>
      <c r="L114" s="735">
        <v>0</v>
      </c>
      <c r="M114" s="700">
        <v>0</v>
      </c>
      <c r="N114" s="762">
        <f>J114+K114+P114</f>
        <v>33313.07</v>
      </c>
      <c r="O114" s="734">
        <f t="shared" si="112"/>
        <v>100.0002101281782</v>
      </c>
      <c r="P114" s="735">
        <v>0</v>
      </c>
      <c r="Q114" s="735">
        <v>0</v>
      </c>
      <c r="R114" s="733">
        <f t="shared" si="109"/>
        <v>0</v>
      </c>
      <c r="S114" s="2813"/>
      <c r="T114" s="537"/>
    </row>
    <row r="115" spans="1:20" s="737" customFormat="1" ht="13.5" customHeight="1" x14ac:dyDescent="0.2">
      <c r="A115" s="2810"/>
      <c r="B115" s="696" t="s">
        <v>12</v>
      </c>
      <c r="C115" s="2821"/>
      <c r="D115" s="697">
        <f>+E115+F115+G115+H115</f>
        <v>19301089</v>
      </c>
      <c r="E115" s="733">
        <v>17447268</v>
      </c>
      <c r="F115" s="733">
        <v>1853821</v>
      </c>
      <c r="G115" s="698">
        <v>0</v>
      </c>
      <c r="H115" s="700">
        <v>0</v>
      </c>
      <c r="I115" s="697">
        <f>+J115+K115+L115+M115</f>
        <v>19301089.23</v>
      </c>
      <c r="J115" s="733">
        <v>17447268</v>
      </c>
      <c r="K115" s="733">
        <f>843804.28+1010016.95</f>
        <v>1853821.23</v>
      </c>
      <c r="L115" s="698">
        <v>0</v>
      </c>
      <c r="M115" s="700">
        <v>0</v>
      </c>
      <c r="N115" s="762">
        <f>J115+K115+P115</f>
        <v>19301089.23</v>
      </c>
      <c r="O115" s="702">
        <f t="shared" si="112"/>
        <v>100.00000119164261</v>
      </c>
      <c r="P115" s="698">
        <v>0</v>
      </c>
      <c r="Q115" s="698">
        <v>0</v>
      </c>
      <c r="R115" s="733">
        <f t="shared" si="109"/>
        <v>0</v>
      </c>
      <c r="S115" s="2813"/>
      <c r="T115" s="537"/>
    </row>
    <row r="116" spans="1:20" s="726" customFormat="1" ht="13.5" customHeight="1" x14ac:dyDescent="0.2">
      <c r="A116" s="2810"/>
      <c r="B116" s="795" t="s">
        <v>13</v>
      </c>
      <c r="C116" s="2821"/>
      <c r="D116" s="704">
        <f t="shared" ref="D116:H116" si="136">+D117+D118</f>
        <v>19301089</v>
      </c>
      <c r="E116" s="705">
        <f t="shared" si="136"/>
        <v>8226642</v>
      </c>
      <c r="F116" s="705">
        <f t="shared" si="136"/>
        <v>11074447</v>
      </c>
      <c r="G116" s="706">
        <f t="shared" si="136"/>
        <v>0</v>
      </c>
      <c r="H116" s="707">
        <f t="shared" si="136"/>
        <v>0</v>
      </c>
      <c r="I116" s="704">
        <f t="shared" ref="I116:N116" si="137">+I117+I118</f>
        <v>19301089.009999998</v>
      </c>
      <c r="J116" s="705">
        <f t="shared" si="137"/>
        <v>8226642</v>
      </c>
      <c r="K116" s="705">
        <f>+K117+K118</f>
        <v>11074447.01</v>
      </c>
      <c r="L116" s="706">
        <f t="shared" si="137"/>
        <v>0</v>
      </c>
      <c r="M116" s="707">
        <f t="shared" si="137"/>
        <v>0</v>
      </c>
      <c r="N116" s="704">
        <f t="shared" si="137"/>
        <v>19301089.009999998</v>
      </c>
      <c r="O116" s="708">
        <f t="shared" si="112"/>
        <v>100.00000005181053</v>
      </c>
      <c r="P116" s="706">
        <f>+P117+P118</f>
        <v>0</v>
      </c>
      <c r="Q116" s="706">
        <v>0</v>
      </c>
      <c r="R116" s="705">
        <f t="shared" si="109"/>
        <v>0</v>
      </c>
      <c r="S116" s="2813"/>
      <c r="T116" s="537"/>
    </row>
    <row r="117" spans="1:20" s="726" customFormat="1" ht="13.5" hidden="1" customHeight="1" x14ac:dyDescent="0.2">
      <c r="A117" s="2810"/>
      <c r="B117" s="696" t="s">
        <v>12</v>
      </c>
      <c r="C117" s="2821"/>
      <c r="D117" s="709">
        <f>+E117+F117+G117+H117</f>
        <v>0</v>
      </c>
      <c r="E117" s="698">
        <v>0</v>
      </c>
      <c r="F117" s="735">
        <v>0</v>
      </c>
      <c r="G117" s="735">
        <v>0</v>
      </c>
      <c r="H117" s="736">
        <v>0</v>
      </c>
      <c r="I117" s="709">
        <f>+J117+K117+L117+M117</f>
        <v>0</v>
      </c>
      <c r="J117" s="698">
        <v>0</v>
      </c>
      <c r="K117" s="735">
        <v>0</v>
      </c>
      <c r="L117" s="735">
        <v>0</v>
      </c>
      <c r="M117" s="736">
        <v>0</v>
      </c>
      <c r="N117" s="710">
        <f>J117+K117+P117</f>
        <v>0</v>
      </c>
      <c r="O117" s="735" t="e">
        <f t="shared" si="112"/>
        <v>#DIV/0!</v>
      </c>
      <c r="P117" s="735">
        <v>0</v>
      </c>
      <c r="Q117" s="735" t="e">
        <f t="shared" si="113"/>
        <v>#DIV/0!</v>
      </c>
      <c r="R117" s="698">
        <f t="shared" si="109"/>
        <v>0</v>
      </c>
      <c r="S117" s="2813"/>
      <c r="T117" s="537"/>
    </row>
    <row r="118" spans="1:20" s="726" customFormat="1" ht="13.5" customHeight="1" x14ac:dyDescent="0.2">
      <c r="A118" s="2810"/>
      <c r="B118" s="696" t="s">
        <v>15</v>
      </c>
      <c r="C118" s="2821"/>
      <c r="D118" s="697">
        <f>+E118+F118+G118+H118</f>
        <v>19301089</v>
      </c>
      <c r="E118" s="699">
        <f>394998+201582+7630062</f>
        <v>8226642</v>
      </c>
      <c r="F118" s="733">
        <v>11074447</v>
      </c>
      <c r="G118" s="698">
        <v>0</v>
      </c>
      <c r="H118" s="700">
        <v>0</v>
      </c>
      <c r="I118" s="697">
        <f>+J118+K118+L118+M118</f>
        <v>19301089.009999998</v>
      </c>
      <c r="J118" s="699">
        <f>394998+201582+7630062</f>
        <v>8226642</v>
      </c>
      <c r="K118" s="733">
        <v>11074447.01</v>
      </c>
      <c r="L118" s="698">
        <v>0</v>
      </c>
      <c r="M118" s="700">
        <v>0</v>
      </c>
      <c r="N118" s="762">
        <f>J118+K118+P118</f>
        <v>19301089.009999998</v>
      </c>
      <c r="O118" s="734">
        <f t="shared" si="112"/>
        <v>100.00000005181053</v>
      </c>
      <c r="P118" s="698">
        <v>0</v>
      </c>
      <c r="Q118" s="735">
        <v>0</v>
      </c>
      <c r="R118" s="733">
        <f t="shared" si="109"/>
        <v>0</v>
      </c>
      <c r="S118" s="2814"/>
      <c r="T118" s="537"/>
    </row>
    <row r="119" spans="1:20" s="726" customFormat="1" ht="13.5" customHeight="1" x14ac:dyDescent="0.2">
      <c r="A119" s="2810"/>
      <c r="B119" s="787" t="s">
        <v>17</v>
      </c>
      <c r="C119" s="788"/>
      <c r="D119" s="685">
        <f t="shared" ref="D119:H119" si="138">+D123+D120</f>
        <v>38635491</v>
      </c>
      <c r="E119" s="753">
        <f t="shared" si="138"/>
        <v>17447268</v>
      </c>
      <c r="F119" s="753">
        <f t="shared" si="138"/>
        <v>19168189</v>
      </c>
      <c r="G119" s="753">
        <f t="shared" si="138"/>
        <v>2020034</v>
      </c>
      <c r="H119" s="747">
        <f t="shared" si="138"/>
        <v>0</v>
      </c>
      <c r="I119" s="685">
        <f t="shared" ref="I119:N119" si="139">+I123+I120</f>
        <v>38635491</v>
      </c>
      <c r="J119" s="753">
        <f t="shared" ref="J119" si="140">+J123+J120</f>
        <v>17447268</v>
      </c>
      <c r="K119" s="753">
        <f>+K123+K120</f>
        <v>19168189</v>
      </c>
      <c r="L119" s="753">
        <f t="shared" si="139"/>
        <v>2020034</v>
      </c>
      <c r="M119" s="748">
        <f t="shared" si="139"/>
        <v>0</v>
      </c>
      <c r="N119" s="685">
        <f t="shared" si="139"/>
        <v>36615457</v>
      </c>
      <c r="O119" s="688">
        <f t="shared" si="112"/>
        <v>94.771558616920387</v>
      </c>
      <c r="P119" s="686">
        <f>+P123+P120</f>
        <v>0</v>
      </c>
      <c r="Q119" s="688">
        <f t="shared" si="113"/>
        <v>0</v>
      </c>
      <c r="R119" s="686">
        <f t="shared" si="109"/>
        <v>-2020034</v>
      </c>
      <c r="S119" s="2817" t="s">
        <v>47</v>
      </c>
      <c r="T119" s="537"/>
    </row>
    <row r="120" spans="1:20" s="726" customFormat="1" ht="13.5" customHeight="1" x14ac:dyDescent="0.2">
      <c r="A120" s="2810"/>
      <c r="B120" s="789" t="s">
        <v>18</v>
      </c>
      <c r="C120" s="796"/>
      <c r="D120" s="766">
        <f t="shared" ref="D120:H120" si="141">D122+D121</f>
        <v>19334402</v>
      </c>
      <c r="E120" s="760">
        <f t="shared" si="141"/>
        <v>17447268</v>
      </c>
      <c r="F120" s="760">
        <f t="shared" si="141"/>
        <v>877117</v>
      </c>
      <c r="G120" s="760">
        <f t="shared" si="141"/>
        <v>1010017</v>
      </c>
      <c r="H120" s="792">
        <f t="shared" si="141"/>
        <v>0</v>
      </c>
      <c r="I120" s="766">
        <f t="shared" ref="I120:N120" si="142">I122+I121</f>
        <v>19334402</v>
      </c>
      <c r="J120" s="760">
        <f t="shared" ref="J120" si="143">J122+J121</f>
        <v>17447268</v>
      </c>
      <c r="K120" s="760">
        <f>K122+K121</f>
        <v>877117</v>
      </c>
      <c r="L120" s="760">
        <f t="shared" si="142"/>
        <v>1010017</v>
      </c>
      <c r="M120" s="752">
        <f t="shared" si="142"/>
        <v>0</v>
      </c>
      <c r="N120" s="766">
        <f t="shared" si="142"/>
        <v>18324385</v>
      </c>
      <c r="O120" s="759">
        <f t="shared" si="112"/>
        <v>94.776062895557871</v>
      </c>
      <c r="P120" s="691">
        <f>P122+P121</f>
        <v>0</v>
      </c>
      <c r="Q120" s="759">
        <f t="shared" si="113"/>
        <v>0</v>
      </c>
      <c r="R120" s="760">
        <f t="shared" si="109"/>
        <v>-1010017</v>
      </c>
      <c r="S120" s="2769"/>
      <c r="T120" s="537"/>
    </row>
    <row r="121" spans="1:20" s="726" customFormat="1" ht="13.5" customHeight="1" x14ac:dyDescent="0.2">
      <c r="A121" s="2810"/>
      <c r="B121" s="696" t="s">
        <v>10</v>
      </c>
      <c r="C121" s="796"/>
      <c r="D121" s="697">
        <f>+E121+F121+G121+H121</f>
        <v>33313</v>
      </c>
      <c r="E121" s="797">
        <v>0</v>
      </c>
      <c r="F121" s="798">
        <v>33313</v>
      </c>
      <c r="G121" s="797">
        <v>0</v>
      </c>
      <c r="H121" s="721">
        <v>0</v>
      </c>
      <c r="I121" s="697">
        <f>+J121+K121+L121+M121</f>
        <v>33313</v>
      </c>
      <c r="J121" s="797">
        <v>0</v>
      </c>
      <c r="K121" s="798">
        <v>33313</v>
      </c>
      <c r="L121" s="797">
        <v>0</v>
      </c>
      <c r="M121" s="721">
        <v>0</v>
      </c>
      <c r="N121" s="762">
        <f>J121+K121+P121</f>
        <v>33313</v>
      </c>
      <c r="O121" s="702">
        <f t="shared" si="112"/>
        <v>100</v>
      </c>
      <c r="P121" s="742">
        <v>0</v>
      </c>
      <c r="Q121" s="698">
        <v>0</v>
      </c>
      <c r="R121" s="733">
        <f t="shared" si="109"/>
        <v>0</v>
      </c>
      <c r="S121" s="2769"/>
      <c r="T121" s="537"/>
    </row>
    <row r="122" spans="1:20" s="737" customFormat="1" ht="13.5" customHeight="1" x14ac:dyDescent="0.2">
      <c r="A122" s="2810"/>
      <c r="B122" s="696" t="s">
        <v>12</v>
      </c>
      <c r="C122" s="799"/>
      <c r="D122" s="697">
        <f>+E122+F122+G122+H122</f>
        <v>19301089</v>
      </c>
      <c r="E122" s="800">
        <v>17447268</v>
      </c>
      <c r="F122" s="800">
        <v>843804</v>
      </c>
      <c r="G122" s="800">
        <v>1010017</v>
      </c>
      <c r="H122" s="735">
        <v>0</v>
      </c>
      <c r="I122" s="697">
        <f>+J122+K122+L122+M122</f>
        <v>19301089</v>
      </c>
      <c r="J122" s="800">
        <v>17447268</v>
      </c>
      <c r="K122" s="800">
        <v>843804</v>
      </c>
      <c r="L122" s="800">
        <v>1010017</v>
      </c>
      <c r="M122" s="736">
        <v>0</v>
      </c>
      <c r="N122" s="762">
        <f>J122+K122+P122</f>
        <v>18291072</v>
      </c>
      <c r="O122" s="801">
        <f t="shared" si="112"/>
        <v>94.767046564056571</v>
      </c>
      <c r="P122" s="699">
        <v>0</v>
      </c>
      <c r="Q122" s="801">
        <f t="shared" si="113"/>
        <v>0</v>
      </c>
      <c r="R122" s="733">
        <f t="shared" si="109"/>
        <v>-1010017</v>
      </c>
      <c r="S122" s="2769"/>
      <c r="T122" s="537"/>
    </row>
    <row r="123" spans="1:20" s="726" customFormat="1" ht="13.5" customHeight="1" x14ac:dyDescent="0.2">
      <c r="A123" s="2810"/>
      <c r="B123" s="795" t="s">
        <v>13</v>
      </c>
      <c r="C123" s="2821" t="s">
        <v>42</v>
      </c>
      <c r="D123" s="774">
        <f>+D124+D125</f>
        <v>19301089</v>
      </c>
      <c r="E123" s="802">
        <v>0</v>
      </c>
      <c r="F123" s="775">
        <f>+F124+F125</f>
        <v>18291072</v>
      </c>
      <c r="G123" s="775">
        <f>+G124+G125</f>
        <v>1010017</v>
      </c>
      <c r="H123" s="802">
        <f>+H124+H125</f>
        <v>0</v>
      </c>
      <c r="I123" s="774">
        <f>+I124+I125</f>
        <v>19301089</v>
      </c>
      <c r="J123" s="802">
        <v>0</v>
      </c>
      <c r="K123" s="775">
        <f>+K124+K125</f>
        <v>18291072</v>
      </c>
      <c r="L123" s="775">
        <f>+L124+L125</f>
        <v>1010017</v>
      </c>
      <c r="M123" s="803">
        <f>+M124+M125</f>
        <v>0</v>
      </c>
      <c r="N123" s="774">
        <f>+N124+N125</f>
        <v>18291072</v>
      </c>
      <c r="O123" s="759">
        <f t="shared" si="112"/>
        <v>94.767046564056571</v>
      </c>
      <c r="P123" s="775">
        <f>+P124+P125</f>
        <v>0</v>
      </c>
      <c r="Q123" s="759">
        <f t="shared" si="113"/>
        <v>0</v>
      </c>
      <c r="R123" s="775">
        <f t="shared" si="109"/>
        <v>-1010017</v>
      </c>
      <c r="S123" s="2769"/>
      <c r="T123" s="537"/>
    </row>
    <row r="124" spans="1:20" s="726" customFormat="1" ht="13.5" hidden="1" customHeight="1" x14ac:dyDescent="0.2">
      <c r="A124" s="2810"/>
      <c r="B124" s="696" t="s">
        <v>12</v>
      </c>
      <c r="C124" s="2821"/>
      <c r="D124" s="709">
        <f>+E124+F124+G124+H124</f>
        <v>0</v>
      </c>
      <c r="E124" s="698">
        <v>0</v>
      </c>
      <c r="F124" s="735">
        <v>0</v>
      </c>
      <c r="G124" s="735">
        <v>0</v>
      </c>
      <c r="H124" s="735">
        <v>0</v>
      </c>
      <c r="I124" s="709">
        <f>+J124+K124+L124+M124</f>
        <v>0</v>
      </c>
      <c r="J124" s="698">
        <v>0</v>
      </c>
      <c r="K124" s="735">
        <v>0</v>
      </c>
      <c r="L124" s="735">
        <v>0</v>
      </c>
      <c r="M124" s="736">
        <v>0</v>
      </c>
      <c r="N124" s="710">
        <f>J124+K124+P124</f>
        <v>0</v>
      </c>
      <c r="O124" s="735" t="e">
        <f t="shared" si="112"/>
        <v>#DIV/0!</v>
      </c>
      <c r="P124" s="698">
        <v>0</v>
      </c>
      <c r="Q124" s="735" t="e">
        <f t="shared" si="113"/>
        <v>#DIV/0!</v>
      </c>
      <c r="R124" s="698">
        <f t="shared" si="109"/>
        <v>0</v>
      </c>
      <c r="S124" s="2769"/>
      <c r="T124" s="537"/>
    </row>
    <row r="125" spans="1:20" s="726" customFormat="1" ht="13.5" customHeight="1" thickBot="1" x14ac:dyDescent="0.25">
      <c r="A125" s="2819"/>
      <c r="B125" s="780" t="s">
        <v>15</v>
      </c>
      <c r="C125" s="2822"/>
      <c r="D125" s="718">
        <f>+E125+F125+G125+H125</f>
        <v>19301089</v>
      </c>
      <c r="E125" s="804">
        <v>0</v>
      </c>
      <c r="F125" s="805">
        <v>18291072</v>
      </c>
      <c r="G125" s="805">
        <v>1010017</v>
      </c>
      <c r="H125" s="804">
        <v>0</v>
      </c>
      <c r="I125" s="718">
        <f>+J125+K125+L125+M125</f>
        <v>19301089</v>
      </c>
      <c r="J125" s="804">
        <v>0</v>
      </c>
      <c r="K125" s="805">
        <v>18291072</v>
      </c>
      <c r="L125" s="805">
        <v>1010017</v>
      </c>
      <c r="M125" s="806">
        <v>0</v>
      </c>
      <c r="N125" s="762">
        <f>J125+K125+P125</f>
        <v>18291072</v>
      </c>
      <c r="O125" s="801">
        <f t="shared" si="112"/>
        <v>94.767046564056571</v>
      </c>
      <c r="P125" s="699">
        <v>0</v>
      </c>
      <c r="Q125" s="801">
        <f t="shared" si="113"/>
        <v>0</v>
      </c>
      <c r="R125" s="733">
        <f t="shared" si="109"/>
        <v>-1010017</v>
      </c>
      <c r="S125" s="2770"/>
      <c r="T125" s="537"/>
    </row>
    <row r="126" spans="1:20" s="726" customFormat="1" ht="30" customHeight="1" x14ac:dyDescent="0.2">
      <c r="A126" s="2828" t="s">
        <v>52</v>
      </c>
      <c r="B126" s="746" t="s">
        <v>330</v>
      </c>
      <c r="C126" s="676" t="s">
        <v>225</v>
      </c>
      <c r="D126" s="680"/>
      <c r="E126" s="678"/>
      <c r="F126" s="678"/>
      <c r="G126" s="678"/>
      <c r="H126" s="679"/>
      <c r="I126" s="680"/>
      <c r="J126" s="678"/>
      <c r="K126" s="678"/>
      <c r="L126" s="678"/>
      <c r="M126" s="679"/>
      <c r="N126" s="680"/>
      <c r="O126" s="681"/>
      <c r="P126" s="678"/>
      <c r="Q126" s="681"/>
      <c r="R126" s="678"/>
      <c r="S126" s="682" t="s">
        <v>44</v>
      </c>
      <c r="T126" s="537"/>
    </row>
    <row r="127" spans="1:20" s="726" customFormat="1" ht="14.25" customHeight="1" x14ac:dyDescent="0.2">
      <c r="A127" s="2829"/>
      <c r="B127" s="787" t="s">
        <v>3</v>
      </c>
      <c r="C127" s="684"/>
      <c r="D127" s="727">
        <f t="shared" ref="D127:H127" si="144">+D128+D131</f>
        <v>15866600</v>
      </c>
      <c r="E127" s="728">
        <f t="shared" si="144"/>
        <v>8875447</v>
      </c>
      <c r="F127" s="728">
        <f t="shared" si="144"/>
        <v>6851153</v>
      </c>
      <c r="G127" s="728">
        <f t="shared" si="144"/>
        <v>140000</v>
      </c>
      <c r="H127" s="747">
        <f t="shared" si="144"/>
        <v>0</v>
      </c>
      <c r="I127" s="727">
        <f t="shared" ref="I127:N127" si="145">+I128+I131</f>
        <v>15866599.59</v>
      </c>
      <c r="J127" s="728">
        <f t="shared" si="145"/>
        <v>8875447</v>
      </c>
      <c r="K127" s="728">
        <f>+K128+K131</f>
        <v>6851152.5899999999</v>
      </c>
      <c r="L127" s="728">
        <f t="shared" si="145"/>
        <v>140000</v>
      </c>
      <c r="M127" s="748">
        <f t="shared" si="145"/>
        <v>0</v>
      </c>
      <c r="N127" s="727">
        <f t="shared" si="145"/>
        <v>15726599.59</v>
      </c>
      <c r="O127" s="729">
        <f t="shared" si="112"/>
        <v>99.117640767398186</v>
      </c>
      <c r="P127" s="728">
        <f>+P128+P131</f>
        <v>0</v>
      </c>
      <c r="Q127" s="729">
        <f t="shared" si="113"/>
        <v>0</v>
      </c>
      <c r="R127" s="728">
        <f t="shared" si="109"/>
        <v>-140000</v>
      </c>
      <c r="S127" s="2813" t="s">
        <v>45</v>
      </c>
      <c r="T127" s="537"/>
    </row>
    <row r="128" spans="1:20" s="726" customFormat="1" ht="14.25" customHeight="1" x14ac:dyDescent="0.2">
      <c r="A128" s="2829"/>
      <c r="B128" s="789" t="s">
        <v>18</v>
      </c>
      <c r="C128" s="2815" t="s">
        <v>46</v>
      </c>
      <c r="D128" s="749">
        <f t="shared" ref="D128:H128" si="146">+D129+D130</f>
        <v>8058526</v>
      </c>
      <c r="E128" s="750">
        <f t="shared" si="146"/>
        <v>6220173</v>
      </c>
      <c r="F128" s="750">
        <f t="shared" si="146"/>
        <v>1698353</v>
      </c>
      <c r="G128" s="750">
        <f t="shared" si="146"/>
        <v>140000</v>
      </c>
      <c r="H128" s="751">
        <f t="shared" si="146"/>
        <v>0</v>
      </c>
      <c r="I128" s="749">
        <f t="shared" ref="I128:N128" si="147">+I129+I130</f>
        <v>8058525.4500000002</v>
      </c>
      <c r="J128" s="750">
        <f t="shared" si="147"/>
        <v>6220173</v>
      </c>
      <c r="K128" s="750">
        <f>+K129+K130</f>
        <v>1698352.45</v>
      </c>
      <c r="L128" s="750">
        <f t="shared" si="147"/>
        <v>140000</v>
      </c>
      <c r="M128" s="752">
        <f t="shared" si="147"/>
        <v>0</v>
      </c>
      <c r="N128" s="749">
        <f t="shared" si="147"/>
        <v>7918525.4500000002</v>
      </c>
      <c r="O128" s="732">
        <f t="shared" si="112"/>
        <v>98.262702757303259</v>
      </c>
      <c r="P128" s="750">
        <f>+P129+P130</f>
        <v>0</v>
      </c>
      <c r="Q128" s="732">
        <f t="shared" si="113"/>
        <v>0</v>
      </c>
      <c r="R128" s="731">
        <f t="shared" si="109"/>
        <v>-140000</v>
      </c>
      <c r="S128" s="2813"/>
      <c r="T128" s="537"/>
    </row>
    <row r="129" spans="1:20" s="726" customFormat="1" ht="14.25" customHeight="1" x14ac:dyDescent="0.2">
      <c r="A129" s="2829"/>
      <c r="B129" s="696" t="s">
        <v>5</v>
      </c>
      <c r="C129" s="2771"/>
      <c r="D129" s="697">
        <f>+E129+F129+G129+H129</f>
        <v>250452</v>
      </c>
      <c r="E129" s="699">
        <f>15437+692+480</f>
        <v>16609</v>
      </c>
      <c r="F129" s="733">
        <v>93843</v>
      </c>
      <c r="G129" s="733">
        <v>140000</v>
      </c>
      <c r="H129" s="735">
        <v>0</v>
      </c>
      <c r="I129" s="697">
        <f>+J129+K129+L129+M129</f>
        <v>250451.78</v>
      </c>
      <c r="J129" s="699">
        <f>15437+692+480</f>
        <v>16609</v>
      </c>
      <c r="K129" s="733">
        <v>93842.78</v>
      </c>
      <c r="L129" s="733">
        <v>140000</v>
      </c>
      <c r="M129" s="736">
        <v>0</v>
      </c>
      <c r="N129" s="762">
        <f>J129+K129+P129</f>
        <v>110451.78</v>
      </c>
      <c r="O129" s="734">
        <f t="shared" si="112"/>
        <v>44.1009774328015</v>
      </c>
      <c r="P129" s="733">
        <v>0</v>
      </c>
      <c r="Q129" s="734">
        <f t="shared" si="113"/>
        <v>0</v>
      </c>
      <c r="R129" s="733">
        <f t="shared" si="109"/>
        <v>-140000</v>
      </c>
      <c r="S129" s="2813"/>
      <c r="T129" s="537"/>
    </row>
    <row r="130" spans="1:20" s="737" customFormat="1" ht="14.25" customHeight="1" x14ac:dyDescent="0.2">
      <c r="A130" s="2829"/>
      <c r="B130" s="696" t="s">
        <v>12</v>
      </c>
      <c r="C130" s="2771"/>
      <c r="D130" s="697">
        <f>+E130+F130+G130+H130</f>
        <v>7808074</v>
      </c>
      <c r="E130" s="733">
        <f>170850+6032714</f>
        <v>6203564</v>
      </c>
      <c r="F130" s="733">
        <v>1604510</v>
      </c>
      <c r="G130" s="735">
        <v>0</v>
      </c>
      <c r="H130" s="700">
        <v>0</v>
      </c>
      <c r="I130" s="697">
        <f>+J130+K130+L130+M130</f>
        <v>7808073.6699999999</v>
      </c>
      <c r="J130" s="733">
        <f>170850+6032714</f>
        <v>6203564</v>
      </c>
      <c r="K130" s="733">
        <f>1179884.68+424624.99</f>
        <v>1604509.67</v>
      </c>
      <c r="L130" s="735">
        <v>0</v>
      </c>
      <c r="M130" s="700">
        <v>0</v>
      </c>
      <c r="N130" s="762">
        <f>J130+K130+P130</f>
        <v>7808073.6699999999</v>
      </c>
      <c r="O130" s="702">
        <f t="shared" si="112"/>
        <v>99.999995773605633</v>
      </c>
      <c r="P130" s="735">
        <v>0</v>
      </c>
      <c r="Q130" s="698">
        <v>0</v>
      </c>
      <c r="R130" s="733">
        <f t="shared" si="109"/>
        <v>0</v>
      </c>
      <c r="S130" s="2813"/>
      <c r="T130" s="537"/>
    </row>
    <row r="131" spans="1:20" s="726" customFormat="1" ht="14.25" customHeight="1" x14ac:dyDescent="0.2">
      <c r="A131" s="2829"/>
      <c r="B131" s="795" t="s">
        <v>13</v>
      </c>
      <c r="C131" s="2771"/>
      <c r="D131" s="774">
        <f t="shared" ref="D131:H131" si="148">+D132+D133</f>
        <v>7808074</v>
      </c>
      <c r="E131" s="775">
        <f t="shared" si="148"/>
        <v>2655274</v>
      </c>
      <c r="F131" s="775">
        <f t="shared" si="148"/>
        <v>5152800</v>
      </c>
      <c r="G131" s="802">
        <f t="shared" si="148"/>
        <v>0</v>
      </c>
      <c r="H131" s="803">
        <f t="shared" si="148"/>
        <v>0</v>
      </c>
      <c r="I131" s="774">
        <f t="shared" ref="I131:M131" si="149">+I132+I133</f>
        <v>7808074.1399999997</v>
      </c>
      <c r="J131" s="775">
        <f t="shared" si="149"/>
        <v>2655274</v>
      </c>
      <c r="K131" s="775">
        <f>+K132+K133</f>
        <v>5152800.1399999997</v>
      </c>
      <c r="L131" s="802">
        <f t="shared" si="149"/>
        <v>0</v>
      </c>
      <c r="M131" s="803">
        <f t="shared" si="149"/>
        <v>0</v>
      </c>
      <c r="N131" s="749">
        <f>N132+N133</f>
        <v>7808074.1399999997</v>
      </c>
      <c r="O131" s="779">
        <f t="shared" si="112"/>
        <v>100.00000179301578</v>
      </c>
      <c r="P131" s="802">
        <f>+P132+P133</f>
        <v>0</v>
      </c>
      <c r="Q131" s="802">
        <v>0</v>
      </c>
      <c r="R131" s="731">
        <f t="shared" si="109"/>
        <v>0</v>
      </c>
      <c r="S131" s="2813"/>
      <c r="T131" s="537"/>
    </row>
    <row r="132" spans="1:20" s="726" customFormat="1" ht="14.25" hidden="1" customHeight="1" x14ac:dyDescent="0.2">
      <c r="A132" s="2829"/>
      <c r="B132" s="696" t="s">
        <v>12</v>
      </c>
      <c r="C132" s="2771"/>
      <c r="D132" s="709">
        <f>+E132+F132+G132+H132</f>
        <v>0</v>
      </c>
      <c r="E132" s="698">
        <v>0</v>
      </c>
      <c r="F132" s="735">
        <v>0</v>
      </c>
      <c r="G132" s="735">
        <v>0</v>
      </c>
      <c r="H132" s="736">
        <v>0</v>
      </c>
      <c r="I132" s="709">
        <f>+J132+K132+L132+M132</f>
        <v>0</v>
      </c>
      <c r="J132" s="698">
        <v>0</v>
      </c>
      <c r="K132" s="735">
        <v>0</v>
      </c>
      <c r="L132" s="735">
        <v>0</v>
      </c>
      <c r="M132" s="736">
        <v>0</v>
      </c>
      <c r="N132" s="710">
        <f>J132+K132+P132</f>
        <v>0</v>
      </c>
      <c r="O132" s="735" t="e">
        <f t="shared" si="112"/>
        <v>#DIV/0!</v>
      </c>
      <c r="P132" s="735">
        <v>0</v>
      </c>
      <c r="Q132" s="735" t="e">
        <f t="shared" si="113"/>
        <v>#DIV/0!</v>
      </c>
      <c r="R132" s="698">
        <f t="shared" si="109"/>
        <v>0</v>
      </c>
      <c r="S132" s="2813"/>
      <c r="T132" s="537"/>
    </row>
    <row r="133" spans="1:20" s="726" customFormat="1" ht="14.25" customHeight="1" x14ac:dyDescent="0.2">
      <c r="A133" s="2829"/>
      <c r="B133" s="696" t="s">
        <v>15</v>
      </c>
      <c r="C133" s="2771"/>
      <c r="D133" s="697">
        <f>+E133+F133+G133+H133</f>
        <v>7808074</v>
      </c>
      <c r="E133" s="733">
        <f>170850+2484424</f>
        <v>2655274</v>
      </c>
      <c r="F133" s="733">
        <v>5152800</v>
      </c>
      <c r="G133" s="698">
        <v>0</v>
      </c>
      <c r="H133" s="807">
        <v>0</v>
      </c>
      <c r="I133" s="697">
        <f>+J133+K133+L133+M133</f>
        <v>7808074.1399999997</v>
      </c>
      <c r="J133" s="733">
        <f>170850+2484424</f>
        <v>2655274</v>
      </c>
      <c r="K133" s="733">
        <v>5152800.1399999997</v>
      </c>
      <c r="L133" s="698">
        <v>0</v>
      </c>
      <c r="M133" s="807">
        <v>0</v>
      </c>
      <c r="N133" s="762">
        <f>J133+K133+P133</f>
        <v>7808074.1399999997</v>
      </c>
      <c r="O133" s="702">
        <f t="shared" si="112"/>
        <v>100.00000179301578</v>
      </c>
      <c r="P133" s="735">
        <v>0</v>
      </c>
      <c r="Q133" s="698">
        <v>0</v>
      </c>
      <c r="R133" s="733">
        <f t="shared" si="109"/>
        <v>0</v>
      </c>
      <c r="S133" s="2814"/>
      <c r="T133" s="537"/>
    </row>
    <row r="134" spans="1:20" s="726" customFormat="1" ht="14.25" customHeight="1" x14ac:dyDescent="0.2">
      <c r="A134" s="2829"/>
      <c r="B134" s="787" t="s">
        <v>17</v>
      </c>
      <c r="C134" s="684"/>
      <c r="D134" s="685">
        <f t="shared" ref="D134:H134" si="150">+D137+D135</f>
        <v>15616148</v>
      </c>
      <c r="E134" s="753">
        <f t="shared" si="150"/>
        <v>5723800</v>
      </c>
      <c r="F134" s="753">
        <f t="shared" si="150"/>
        <v>9043098</v>
      </c>
      <c r="G134" s="753">
        <f t="shared" si="150"/>
        <v>849250</v>
      </c>
      <c r="H134" s="754">
        <f t="shared" si="150"/>
        <v>0</v>
      </c>
      <c r="I134" s="685">
        <f t="shared" ref="I134:N134" si="151">+I137+I135</f>
        <v>15616148</v>
      </c>
      <c r="J134" s="753">
        <f t="shared" ref="J134" si="152">+J137+J135</f>
        <v>5723800</v>
      </c>
      <c r="K134" s="753">
        <f>+K137+K135</f>
        <v>9043098</v>
      </c>
      <c r="L134" s="753">
        <f t="shared" si="151"/>
        <v>849250</v>
      </c>
      <c r="M134" s="687">
        <f t="shared" si="151"/>
        <v>0</v>
      </c>
      <c r="N134" s="685">
        <f t="shared" si="151"/>
        <v>14766898</v>
      </c>
      <c r="O134" s="688">
        <f t="shared" si="112"/>
        <v>94.561719061576525</v>
      </c>
      <c r="P134" s="738">
        <f>+P137+P135</f>
        <v>0</v>
      </c>
      <c r="Q134" s="688">
        <f t="shared" si="113"/>
        <v>0</v>
      </c>
      <c r="R134" s="686">
        <f t="shared" si="109"/>
        <v>-849250</v>
      </c>
      <c r="S134" s="2817" t="s">
        <v>47</v>
      </c>
      <c r="T134" s="537"/>
    </row>
    <row r="135" spans="1:20" s="726" customFormat="1" ht="14.25" customHeight="1" x14ac:dyDescent="0.2">
      <c r="A135" s="2829"/>
      <c r="B135" s="789" t="s">
        <v>18</v>
      </c>
      <c r="C135" s="2831" t="s">
        <v>42</v>
      </c>
      <c r="D135" s="755">
        <f t="shared" ref="D135:H135" si="153">D136</f>
        <v>7808074</v>
      </c>
      <c r="E135" s="756">
        <f t="shared" si="153"/>
        <v>3068526</v>
      </c>
      <c r="F135" s="756">
        <f t="shared" si="153"/>
        <v>4314923</v>
      </c>
      <c r="G135" s="756">
        <f t="shared" si="153"/>
        <v>424625</v>
      </c>
      <c r="H135" s="757">
        <f t="shared" si="153"/>
        <v>0</v>
      </c>
      <c r="I135" s="755">
        <f t="shared" ref="I135:N135" si="154">I136</f>
        <v>7808074</v>
      </c>
      <c r="J135" s="756">
        <f t="shared" si="154"/>
        <v>3068526</v>
      </c>
      <c r="K135" s="756">
        <f>K136</f>
        <v>4314923</v>
      </c>
      <c r="L135" s="756">
        <f t="shared" si="154"/>
        <v>424625</v>
      </c>
      <c r="M135" s="758">
        <f t="shared" si="154"/>
        <v>0</v>
      </c>
      <c r="N135" s="755">
        <f t="shared" si="154"/>
        <v>7383449</v>
      </c>
      <c r="O135" s="759">
        <f t="shared" si="112"/>
        <v>94.561719061576525</v>
      </c>
      <c r="P135" s="808">
        <f>P136</f>
        <v>0</v>
      </c>
      <c r="Q135" s="759">
        <f t="shared" si="113"/>
        <v>0</v>
      </c>
      <c r="R135" s="715">
        <f t="shared" ref="R135:R198" si="155">+P135-L135</f>
        <v>-424625</v>
      </c>
      <c r="S135" s="2769"/>
      <c r="T135" s="537"/>
    </row>
    <row r="136" spans="1:20" s="737" customFormat="1" ht="14.25" customHeight="1" x14ac:dyDescent="0.2">
      <c r="A136" s="2829"/>
      <c r="B136" s="696" t="s">
        <v>12</v>
      </c>
      <c r="C136" s="2832"/>
      <c r="D136" s="697">
        <f>+E136+F136+G136+H136</f>
        <v>7808074</v>
      </c>
      <c r="E136" s="800">
        <v>3068526</v>
      </c>
      <c r="F136" s="800">
        <v>4314923</v>
      </c>
      <c r="G136" s="800">
        <v>424625</v>
      </c>
      <c r="H136" s="809">
        <v>0</v>
      </c>
      <c r="I136" s="697">
        <f>+J136+K136+L136+M136</f>
        <v>7808074</v>
      </c>
      <c r="J136" s="800">
        <v>3068526</v>
      </c>
      <c r="K136" s="800">
        <v>4314923</v>
      </c>
      <c r="L136" s="800">
        <v>424625</v>
      </c>
      <c r="M136" s="810">
        <v>0</v>
      </c>
      <c r="N136" s="762">
        <f>J136+K136+P136</f>
        <v>7383449</v>
      </c>
      <c r="O136" s="801">
        <f t="shared" si="112"/>
        <v>94.561719061576525</v>
      </c>
      <c r="P136" s="809">
        <v>0</v>
      </c>
      <c r="Q136" s="801">
        <f t="shared" si="113"/>
        <v>0</v>
      </c>
      <c r="R136" s="733">
        <f t="shared" si="155"/>
        <v>-424625</v>
      </c>
      <c r="S136" s="2769"/>
      <c r="T136" s="537"/>
    </row>
    <row r="137" spans="1:20" s="726" customFormat="1" ht="14.25" customHeight="1" x14ac:dyDescent="0.2">
      <c r="A137" s="2829"/>
      <c r="B137" s="795" t="s">
        <v>13</v>
      </c>
      <c r="C137" s="2832"/>
      <c r="D137" s="774">
        <f t="shared" ref="D137:M137" si="156">+D138+D139</f>
        <v>7808074</v>
      </c>
      <c r="E137" s="775">
        <f t="shared" si="156"/>
        <v>2655274</v>
      </c>
      <c r="F137" s="775">
        <f t="shared" si="156"/>
        <v>4728175</v>
      </c>
      <c r="G137" s="775">
        <f t="shared" si="156"/>
        <v>424625</v>
      </c>
      <c r="H137" s="803">
        <f t="shared" si="156"/>
        <v>0</v>
      </c>
      <c r="I137" s="774">
        <f t="shared" si="156"/>
        <v>7808074</v>
      </c>
      <c r="J137" s="775">
        <f t="shared" si="156"/>
        <v>2655274</v>
      </c>
      <c r="K137" s="775">
        <f>+K138+K139</f>
        <v>4728175</v>
      </c>
      <c r="L137" s="775">
        <f t="shared" si="156"/>
        <v>424625</v>
      </c>
      <c r="M137" s="803">
        <f t="shared" si="156"/>
        <v>0</v>
      </c>
      <c r="N137" s="811">
        <f>N138+N139</f>
        <v>7383449</v>
      </c>
      <c r="O137" s="779">
        <f t="shared" si="112"/>
        <v>94.561719061576525</v>
      </c>
      <c r="P137" s="802">
        <f>+P138+P139</f>
        <v>0</v>
      </c>
      <c r="Q137" s="779">
        <f t="shared" si="113"/>
        <v>0</v>
      </c>
      <c r="R137" s="775">
        <f t="shared" si="155"/>
        <v>-424625</v>
      </c>
      <c r="S137" s="2769"/>
      <c r="T137" s="537"/>
    </row>
    <row r="138" spans="1:20" s="726" customFormat="1" ht="14.25" hidden="1" customHeight="1" x14ac:dyDescent="0.2">
      <c r="A138" s="2829"/>
      <c r="B138" s="696" t="s">
        <v>12</v>
      </c>
      <c r="C138" s="2832"/>
      <c r="D138" s="709">
        <f>+E138+F138+G138+H138</f>
        <v>0</v>
      </c>
      <c r="E138" s="735">
        <v>0</v>
      </c>
      <c r="F138" s="735">
        <v>0</v>
      </c>
      <c r="G138" s="735">
        <v>0</v>
      </c>
      <c r="H138" s="735">
        <v>0</v>
      </c>
      <c r="I138" s="709">
        <f>+J138+K138+L138+M138</f>
        <v>0</v>
      </c>
      <c r="J138" s="735">
        <v>0</v>
      </c>
      <c r="K138" s="735">
        <v>0</v>
      </c>
      <c r="L138" s="735">
        <v>0</v>
      </c>
      <c r="M138" s="736">
        <v>0</v>
      </c>
      <c r="N138" s="710">
        <f>J138+K138+P138</f>
        <v>0</v>
      </c>
      <c r="O138" s="735" t="e">
        <f t="shared" si="112"/>
        <v>#DIV/0!</v>
      </c>
      <c r="P138" s="698">
        <v>0</v>
      </c>
      <c r="Q138" s="735" t="e">
        <f t="shared" si="113"/>
        <v>#DIV/0!</v>
      </c>
      <c r="R138" s="698">
        <f t="shared" si="155"/>
        <v>0</v>
      </c>
      <c r="S138" s="2769"/>
      <c r="T138" s="537"/>
    </row>
    <row r="139" spans="1:20" s="726" customFormat="1" ht="14.25" customHeight="1" thickBot="1" x14ac:dyDescent="0.25">
      <c r="A139" s="2830"/>
      <c r="B139" s="780" t="s">
        <v>15</v>
      </c>
      <c r="C139" s="2833"/>
      <c r="D139" s="718">
        <f>+E139+F139+G139+H139</f>
        <v>7808074</v>
      </c>
      <c r="E139" s="805">
        <v>2655274</v>
      </c>
      <c r="F139" s="805">
        <v>4728175</v>
      </c>
      <c r="G139" s="805">
        <v>424625</v>
      </c>
      <c r="H139" s="804">
        <v>0</v>
      </c>
      <c r="I139" s="718">
        <f>+J139+K139+L139+M139</f>
        <v>7808074</v>
      </c>
      <c r="J139" s="805">
        <v>2655274</v>
      </c>
      <c r="K139" s="805">
        <v>4728175</v>
      </c>
      <c r="L139" s="805">
        <v>424625</v>
      </c>
      <c r="M139" s="806">
        <v>0</v>
      </c>
      <c r="N139" s="784">
        <f>J139+K139+P139</f>
        <v>7383449</v>
      </c>
      <c r="O139" s="812">
        <f t="shared" si="112"/>
        <v>94.561719061576525</v>
      </c>
      <c r="P139" s="804">
        <v>0</v>
      </c>
      <c r="Q139" s="812">
        <f t="shared" si="113"/>
        <v>0</v>
      </c>
      <c r="R139" s="786">
        <f t="shared" si="155"/>
        <v>-424625</v>
      </c>
      <c r="S139" s="2770"/>
      <c r="T139" s="537"/>
    </row>
    <row r="140" spans="1:20" s="726" customFormat="1" ht="27" customHeight="1" x14ac:dyDescent="0.2">
      <c r="A140" s="2809" t="s">
        <v>53</v>
      </c>
      <c r="B140" s="746" t="s">
        <v>55</v>
      </c>
      <c r="C140" s="676" t="s">
        <v>225</v>
      </c>
      <c r="D140" s="680"/>
      <c r="E140" s="678"/>
      <c r="F140" s="678"/>
      <c r="G140" s="678"/>
      <c r="H140" s="813"/>
      <c r="I140" s="680"/>
      <c r="J140" s="678"/>
      <c r="K140" s="678"/>
      <c r="L140" s="678"/>
      <c r="M140" s="813"/>
      <c r="N140" s="680"/>
      <c r="O140" s="681"/>
      <c r="P140" s="678"/>
      <c r="Q140" s="681"/>
      <c r="R140" s="678"/>
      <c r="S140" s="814" t="s">
        <v>44</v>
      </c>
      <c r="T140" s="537"/>
    </row>
    <row r="141" spans="1:20" s="726" customFormat="1" ht="14.25" customHeight="1" x14ac:dyDescent="0.2">
      <c r="A141" s="2810"/>
      <c r="B141" s="565" t="s">
        <v>3</v>
      </c>
      <c r="C141" s="566"/>
      <c r="D141" s="815">
        <f t="shared" ref="D141:H141" si="157">+D142+D145</f>
        <v>50902178</v>
      </c>
      <c r="E141" s="815">
        <f t="shared" si="157"/>
        <v>188320</v>
      </c>
      <c r="F141" s="815">
        <f t="shared" si="157"/>
        <v>348320</v>
      </c>
      <c r="G141" s="815">
        <f t="shared" si="157"/>
        <v>32936313</v>
      </c>
      <c r="H141" s="816">
        <f t="shared" si="157"/>
        <v>17429225</v>
      </c>
      <c r="I141" s="817">
        <f t="shared" ref="I141:M141" si="158">+I142+I145</f>
        <v>50902178</v>
      </c>
      <c r="J141" s="815">
        <f t="shared" si="158"/>
        <v>188320</v>
      </c>
      <c r="K141" s="815">
        <f>+K142+K145</f>
        <v>348320</v>
      </c>
      <c r="L141" s="815">
        <f t="shared" si="158"/>
        <v>32936313</v>
      </c>
      <c r="M141" s="816">
        <f t="shared" si="158"/>
        <v>17429225</v>
      </c>
      <c r="N141" s="817">
        <f>+N142+N145</f>
        <v>892828.24</v>
      </c>
      <c r="O141" s="818">
        <f t="shared" ref="O141:O202" si="159">N141/D141*100</f>
        <v>1.7540079326271658</v>
      </c>
      <c r="P141" s="815">
        <f>+P142+P145</f>
        <v>356188.24</v>
      </c>
      <c r="Q141" s="818">
        <f t="shared" ref="Q141:Q194" si="160">P141/G141*100</f>
        <v>1.0814453943281388</v>
      </c>
      <c r="R141" s="815">
        <f t="shared" si="155"/>
        <v>-32580124.760000002</v>
      </c>
      <c r="S141" s="2834" t="s">
        <v>45</v>
      </c>
      <c r="T141" s="537"/>
    </row>
    <row r="142" spans="1:20" s="726" customFormat="1" ht="14.25" customHeight="1" x14ac:dyDescent="0.2">
      <c r="A142" s="2810"/>
      <c r="B142" s="819" t="s">
        <v>18</v>
      </c>
      <c r="C142" s="2771" t="s">
        <v>46</v>
      </c>
      <c r="D142" s="820">
        <f t="shared" ref="D142:H142" si="161">+D143+D144</f>
        <v>36166509</v>
      </c>
      <c r="E142" s="821">
        <f t="shared" si="161"/>
        <v>143579</v>
      </c>
      <c r="F142" s="821">
        <f t="shared" si="161"/>
        <v>248109</v>
      </c>
      <c r="G142" s="821">
        <f t="shared" si="161"/>
        <v>23460629</v>
      </c>
      <c r="H142" s="821">
        <f t="shared" si="161"/>
        <v>12314192</v>
      </c>
      <c r="I142" s="820">
        <f t="shared" ref="I142:M142" si="162">+I143+I144</f>
        <v>36166509</v>
      </c>
      <c r="J142" s="821">
        <f t="shared" si="162"/>
        <v>143579</v>
      </c>
      <c r="K142" s="821">
        <f>+K143+K144</f>
        <v>248109</v>
      </c>
      <c r="L142" s="821">
        <f t="shared" si="162"/>
        <v>23460629</v>
      </c>
      <c r="M142" s="822">
        <f t="shared" si="162"/>
        <v>12314192</v>
      </c>
      <c r="N142" s="820">
        <f>+N143+N144</f>
        <v>652346.56000000006</v>
      </c>
      <c r="O142" s="823">
        <f t="shared" si="159"/>
        <v>1.803731070643285</v>
      </c>
      <c r="P142" s="821">
        <f>+P143+P144</f>
        <v>260658.56</v>
      </c>
      <c r="Q142" s="823">
        <f t="shared" si="160"/>
        <v>1.1110467669046724</v>
      </c>
      <c r="R142" s="821">
        <f t="shared" si="155"/>
        <v>-23199970.440000001</v>
      </c>
      <c r="S142" s="2834"/>
      <c r="T142" s="537"/>
    </row>
    <row r="143" spans="1:20" s="726" customFormat="1" ht="14.25" customHeight="1" x14ac:dyDescent="0.2">
      <c r="A143" s="2810"/>
      <c r="B143" s="696" t="s">
        <v>5</v>
      </c>
      <c r="C143" s="2816"/>
      <c r="D143" s="697">
        <f>+E143+F143+G143+H143</f>
        <v>33337066</v>
      </c>
      <c r="E143" s="699">
        <f>92591+42397</f>
        <v>134988</v>
      </c>
      <c r="F143" s="733">
        <v>228867</v>
      </c>
      <c r="G143" s="733">
        <v>21641173</v>
      </c>
      <c r="H143" s="824">
        <v>11332038</v>
      </c>
      <c r="I143" s="697">
        <f>+J143+K143+L143+M143</f>
        <v>33337066</v>
      </c>
      <c r="J143" s="699">
        <f>92591+42397</f>
        <v>134988</v>
      </c>
      <c r="K143" s="733">
        <v>228867</v>
      </c>
      <c r="L143" s="733">
        <v>21641173</v>
      </c>
      <c r="M143" s="824">
        <v>11332038</v>
      </c>
      <c r="N143" s="762">
        <f>J143+K143+P143</f>
        <v>605101.30000000005</v>
      </c>
      <c r="O143" s="734">
        <f t="shared" si="159"/>
        <v>1.8151006450297695</v>
      </c>
      <c r="P143" s="699">
        <v>241246.3</v>
      </c>
      <c r="Q143" s="734">
        <f t="shared" si="160"/>
        <v>1.1147561178869554</v>
      </c>
      <c r="R143" s="733">
        <f t="shared" si="155"/>
        <v>-21399926.699999999</v>
      </c>
      <c r="S143" s="2834"/>
      <c r="T143" s="537"/>
    </row>
    <row r="144" spans="1:20" s="726" customFormat="1" ht="14.25" customHeight="1" x14ac:dyDescent="0.2">
      <c r="A144" s="2810"/>
      <c r="B144" s="696" t="s">
        <v>12</v>
      </c>
      <c r="C144" s="2816"/>
      <c r="D144" s="697">
        <f>+E144+F144+G144+H144</f>
        <v>2829443</v>
      </c>
      <c r="E144" s="699">
        <f>5027+3564</f>
        <v>8591</v>
      </c>
      <c r="F144" s="733">
        <v>19242</v>
      </c>
      <c r="G144" s="733">
        <v>1819456</v>
      </c>
      <c r="H144" s="824">
        <v>982154</v>
      </c>
      <c r="I144" s="697">
        <f>+J144+K144+L144+M144</f>
        <v>2829443</v>
      </c>
      <c r="J144" s="699">
        <f>5027+3564</f>
        <v>8591</v>
      </c>
      <c r="K144" s="733">
        <v>19242</v>
      </c>
      <c r="L144" s="733">
        <v>1819456</v>
      </c>
      <c r="M144" s="824">
        <v>982154</v>
      </c>
      <c r="N144" s="762">
        <f>J144+K144+P144</f>
        <v>47245.259999999995</v>
      </c>
      <c r="O144" s="734">
        <f t="shared" si="159"/>
        <v>1.66977246051608</v>
      </c>
      <c r="P144" s="699">
        <v>19412.259999999998</v>
      </c>
      <c r="Q144" s="734">
        <f t="shared" si="160"/>
        <v>1.0669265978402336</v>
      </c>
      <c r="R144" s="733">
        <f t="shared" si="155"/>
        <v>-1800043.74</v>
      </c>
      <c r="S144" s="2834"/>
      <c r="T144" s="537"/>
    </row>
    <row r="145" spans="1:20" s="726" customFormat="1" ht="14.25" customHeight="1" x14ac:dyDescent="0.2">
      <c r="A145" s="2810"/>
      <c r="B145" s="703" t="s">
        <v>13</v>
      </c>
      <c r="C145" s="2816"/>
      <c r="D145" s="704">
        <f t="shared" ref="D145:N145" si="163">+D146</f>
        <v>14735669</v>
      </c>
      <c r="E145" s="705">
        <f t="shared" si="163"/>
        <v>44741</v>
      </c>
      <c r="F145" s="705">
        <f t="shared" si="163"/>
        <v>100211</v>
      </c>
      <c r="G145" s="705">
        <f t="shared" si="163"/>
        <v>9475684</v>
      </c>
      <c r="H145" s="825">
        <f t="shared" si="163"/>
        <v>5115033</v>
      </c>
      <c r="I145" s="704">
        <f t="shared" si="163"/>
        <v>14735669</v>
      </c>
      <c r="J145" s="705">
        <f t="shared" si="163"/>
        <v>44741</v>
      </c>
      <c r="K145" s="705">
        <f>+K146</f>
        <v>100211</v>
      </c>
      <c r="L145" s="705">
        <f t="shared" si="163"/>
        <v>9475684</v>
      </c>
      <c r="M145" s="825">
        <f t="shared" si="163"/>
        <v>5115033</v>
      </c>
      <c r="N145" s="704">
        <f t="shared" si="163"/>
        <v>240481.68</v>
      </c>
      <c r="O145" s="708">
        <f t="shared" si="159"/>
        <v>1.6319698820596473</v>
      </c>
      <c r="P145" s="705">
        <f>+P146</f>
        <v>95529.68</v>
      </c>
      <c r="Q145" s="708">
        <f t="shared" si="160"/>
        <v>1.0081560339074203</v>
      </c>
      <c r="R145" s="705">
        <f t="shared" si="155"/>
        <v>-9380154.3200000003</v>
      </c>
      <c r="S145" s="2834"/>
      <c r="T145" s="537"/>
    </row>
    <row r="146" spans="1:20" s="726" customFormat="1" ht="14.25" customHeight="1" x14ac:dyDescent="0.2">
      <c r="A146" s="2810"/>
      <c r="B146" s="696" t="s">
        <v>15</v>
      </c>
      <c r="C146" s="2816"/>
      <c r="D146" s="697">
        <f>++E146+F146+G146+H146</f>
        <v>14735669</v>
      </c>
      <c r="E146" s="699">
        <f>26177+18564</f>
        <v>44741</v>
      </c>
      <c r="F146" s="733">
        <v>100211</v>
      </c>
      <c r="G146" s="733">
        <v>9475684</v>
      </c>
      <c r="H146" s="824">
        <v>5115033</v>
      </c>
      <c r="I146" s="697">
        <f>++J146+K146+L146+M146</f>
        <v>14735669</v>
      </c>
      <c r="J146" s="699">
        <f>26177+18564</f>
        <v>44741</v>
      </c>
      <c r="K146" s="733">
        <v>100211</v>
      </c>
      <c r="L146" s="733">
        <v>9475684</v>
      </c>
      <c r="M146" s="824">
        <v>5115033</v>
      </c>
      <c r="N146" s="762">
        <f>J146+K146+P146</f>
        <v>240481.68</v>
      </c>
      <c r="O146" s="734">
        <f t="shared" si="159"/>
        <v>1.6319698820596473</v>
      </c>
      <c r="P146" s="699">
        <v>95529.68</v>
      </c>
      <c r="Q146" s="734">
        <f t="shared" si="160"/>
        <v>1.0081560339074203</v>
      </c>
      <c r="R146" s="733">
        <f t="shared" si="155"/>
        <v>-9380154.3200000003</v>
      </c>
      <c r="S146" s="2835"/>
      <c r="T146" s="537"/>
    </row>
    <row r="147" spans="1:20" s="726" customFormat="1" ht="14.25" customHeight="1" x14ac:dyDescent="0.2">
      <c r="A147" s="2811"/>
      <c r="B147" s="565" t="s">
        <v>17</v>
      </c>
      <c r="C147" s="566"/>
      <c r="D147" s="826">
        <f t="shared" ref="D147:H147" si="164">+D150+D148</f>
        <v>17565112</v>
      </c>
      <c r="E147" s="827">
        <f t="shared" si="164"/>
        <v>0</v>
      </c>
      <c r="F147" s="827">
        <f t="shared" si="164"/>
        <v>0</v>
      </c>
      <c r="G147" s="828">
        <f t="shared" si="164"/>
        <v>7000000</v>
      </c>
      <c r="H147" s="829">
        <f t="shared" si="164"/>
        <v>10565112</v>
      </c>
      <c r="I147" s="826">
        <f t="shared" ref="I147:N147" si="165">+I150+I148</f>
        <v>17565112</v>
      </c>
      <c r="J147" s="827">
        <f t="shared" si="165"/>
        <v>0</v>
      </c>
      <c r="K147" s="827">
        <f>+K150+K148</f>
        <v>0</v>
      </c>
      <c r="L147" s="828">
        <f t="shared" si="165"/>
        <v>7000000</v>
      </c>
      <c r="M147" s="829">
        <f t="shared" si="165"/>
        <v>10565112</v>
      </c>
      <c r="N147" s="826">
        <f t="shared" si="165"/>
        <v>0</v>
      </c>
      <c r="O147" s="830">
        <f t="shared" si="159"/>
        <v>0</v>
      </c>
      <c r="P147" s="828">
        <f>+P150+P148</f>
        <v>0</v>
      </c>
      <c r="Q147" s="830">
        <f t="shared" si="160"/>
        <v>0</v>
      </c>
      <c r="R147" s="828">
        <f t="shared" si="155"/>
        <v>-7000000</v>
      </c>
      <c r="S147" s="2836" t="s">
        <v>47</v>
      </c>
      <c r="T147" s="537"/>
    </row>
    <row r="148" spans="1:20" s="726" customFormat="1" ht="14.25" customHeight="1" x14ac:dyDescent="0.2">
      <c r="A148" s="2811"/>
      <c r="B148" s="689" t="s">
        <v>18</v>
      </c>
      <c r="C148" s="2838" t="s">
        <v>42</v>
      </c>
      <c r="D148" s="704">
        <f t="shared" ref="D148:H148" si="166">+D149</f>
        <v>2829443</v>
      </c>
      <c r="E148" s="706">
        <f t="shared" si="166"/>
        <v>0</v>
      </c>
      <c r="F148" s="706">
        <f t="shared" si="166"/>
        <v>0</v>
      </c>
      <c r="G148" s="705">
        <f t="shared" si="166"/>
        <v>1127582</v>
      </c>
      <c r="H148" s="831">
        <f t="shared" si="166"/>
        <v>1701861</v>
      </c>
      <c r="I148" s="704">
        <f t="shared" ref="I148:N148" si="167">+I149</f>
        <v>2829443</v>
      </c>
      <c r="J148" s="706">
        <f t="shared" si="167"/>
        <v>0</v>
      </c>
      <c r="K148" s="706">
        <v>0</v>
      </c>
      <c r="L148" s="705">
        <f t="shared" si="167"/>
        <v>1127582</v>
      </c>
      <c r="M148" s="831">
        <f t="shared" si="167"/>
        <v>1701861</v>
      </c>
      <c r="N148" s="774">
        <f t="shared" si="167"/>
        <v>0</v>
      </c>
      <c r="O148" s="779">
        <f t="shared" si="159"/>
        <v>0</v>
      </c>
      <c r="P148" s="832">
        <v>0</v>
      </c>
      <c r="Q148" s="779">
        <f t="shared" si="160"/>
        <v>0</v>
      </c>
      <c r="R148" s="775">
        <f t="shared" si="155"/>
        <v>-1127582</v>
      </c>
      <c r="S148" s="2834"/>
      <c r="T148" s="537"/>
    </row>
    <row r="149" spans="1:20" s="726" customFormat="1" ht="14.25" customHeight="1" x14ac:dyDescent="0.2">
      <c r="A149" s="2811"/>
      <c r="B149" s="696" t="s">
        <v>12</v>
      </c>
      <c r="C149" s="2832"/>
      <c r="D149" s="697">
        <f>+E149+F149+G149+H149</f>
        <v>2829443</v>
      </c>
      <c r="E149" s="833">
        <v>0</v>
      </c>
      <c r="F149" s="833">
        <v>0</v>
      </c>
      <c r="G149" s="834">
        <v>1127582</v>
      </c>
      <c r="H149" s="835">
        <v>1701861</v>
      </c>
      <c r="I149" s="697">
        <f>+J149+K149+L149+M149</f>
        <v>2829443</v>
      </c>
      <c r="J149" s="833">
        <v>0</v>
      </c>
      <c r="K149" s="833">
        <v>0</v>
      </c>
      <c r="L149" s="834">
        <v>1127582</v>
      </c>
      <c r="M149" s="835">
        <v>1701861</v>
      </c>
      <c r="N149" s="762">
        <f>J149+K149+P149</f>
        <v>0</v>
      </c>
      <c r="O149" s="801">
        <f t="shared" si="159"/>
        <v>0</v>
      </c>
      <c r="P149" s="832">
        <v>0</v>
      </c>
      <c r="Q149" s="801">
        <f t="shared" si="160"/>
        <v>0</v>
      </c>
      <c r="R149" s="733">
        <f t="shared" si="155"/>
        <v>-1127582</v>
      </c>
      <c r="S149" s="2834"/>
      <c r="T149" s="537"/>
    </row>
    <row r="150" spans="1:20" s="726" customFormat="1" ht="14.25" customHeight="1" x14ac:dyDescent="0.2">
      <c r="A150" s="2811"/>
      <c r="B150" s="703" t="s">
        <v>13</v>
      </c>
      <c r="C150" s="2832"/>
      <c r="D150" s="774">
        <f>+D151</f>
        <v>14735669</v>
      </c>
      <c r="E150" s="802">
        <f t="shared" ref="E150:M150" si="168">+E151</f>
        <v>0</v>
      </c>
      <c r="F150" s="802">
        <f t="shared" si="168"/>
        <v>0</v>
      </c>
      <c r="G150" s="775">
        <f t="shared" si="168"/>
        <v>5872418</v>
      </c>
      <c r="H150" s="836">
        <f t="shared" si="168"/>
        <v>8863251</v>
      </c>
      <c r="I150" s="774">
        <f>+I151</f>
        <v>14735669</v>
      </c>
      <c r="J150" s="802">
        <f t="shared" si="168"/>
        <v>0</v>
      </c>
      <c r="K150" s="802">
        <f>+K151</f>
        <v>0</v>
      </c>
      <c r="L150" s="775">
        <f t="shared" si="168"/>
        <v>5872418</v>
      </c>
      <c r="M150" s="836">
        <f t="shared" si="168"/>
        <v>8863251</v>
      </c>
      <c r="N150" s="837">
        <f>+N151</f>
        <v>0</v>
      </c>
      <c r="O150" s="838">
        <f t="shared" si="159"/>
        <v>0</v>
      </c>
      <c r="P150" s="839">
        <f>+P151</f>
        <v>0</v>
      </c>
      <c r="Q150" s="838">
        <f t="shared" si="160"/>
        <v>0</v>
      </c>
      <c r="R150" s="839">
        <f t="shared" si="155"/>
        <v>-5872418</v>
      </c>
      <c r="S150" s="2834"/>
      <c r="T150" s="537"/>
    </row>
    <row r="151" spans="1:20" s="726" customFormat="1" ht="14.25" customHeight="1" thickBot="1" x14ac:dyDescent="0.25">
      <c r="A151" s="2812"/>
      <c r="B151" s="780" t="s">
        <v>15</v>
      </c>
      <c r="C151" s="2833"/>
      <c r="D151" s="718">
        <f>+E151+F151+G151+H151</f>
        <v>14735669</v>
      </c>
      <c r="E151" s="719">
        <v>0</v>
      </c>
      <c r="F151" s="804">
        <v>0</v>
      </c>
      <c r="G151" s="805">
        <v>5872418</v>
      </c>
      <c r="H151" s="840">
        <v>8863251</v>
      </c>
      <c r="I151" s="718">
        <f>+J151+K151+L151+M151</f>
        <v>14735669</v>
      </c>
      <c r="J151" s="719">
        <v>0</v>
      </c>
      <c r="K151" s="804">
        <v>0</v>
      </c>
      <c r="L151" s="805">
        <v>5872418</v>
      </c>
      <c r="M151" s="840">
        <v>8863251</v>
      </c>
      <c r="N151" s="784">
        <f>J151+K151+P151</f>
        <v>0</v>
      </c>
      <c r="O151" s="812">
        <f t="shared" si="159"/>
        <v>0</v>
      </c>
      <c r="P151" s="805">
        <v>0</v>
      </c>
      <c r="Q151" s="812">
        <f t="shared" si="160"/>
        <v>0</v>
      </c>
      <c r="R151" s="786">
        <f t="shared" si="155"/>
        <v>-5872418</v>
      </c>
      <c r="S151" s="2837"/>
      <c r="T151" s="537"/>
    </row>
    <row r="152" spans="1:20" ht="29.25" customHeight="1" x14ac:dyDescent="0.2">
      <c r="A152" s="2809" t="s">
        <v>54</v>
      </c>
      <c r="B152" s="746" t="s">
        <v>331</v>
      </c>
      <c r="C152" s="676" t="s">
        <v>225</v>
      </c>
      <c r="D152" s="680"/>
      <c r="E152" s="678"/>
      <c r="F152" s="678"/>
      <c r="G152" s="678"/>
      <c r="H152" s="679"/>
      <c r="I152" s="680"/>
      <c r="J152" s="841"/>
      <c r="K152" s="680"/>
      <c r="L152" s="678"/>
      <c r="M152" s="679"/>
      <c r="N152" s="680"/>
      <c r="O152" s="681"/>
      <c r="P152" s="678"/>
      <c r="Q152" s="681"/>
      <c r="R152" s="678"/>
      <c r="S152" s="2823" t="s">
        <v>45</v>
      </c>
      <c r="T152" s="537"/>
    </row>
    <row r="153" spans="1:20" x14ac:dyDescent="0.2">
      <c r="A153" s="2810"/>
      <c r="B153" s="565" t="s">
        <v>3</v>
      </c>
      <c r="C153" s="566"/>
      <c r="D153" s="826">
        <f t="shared" ref="D153:H153" si="169">+D154+D156</f>
        <v>23379750</v>
      </c>
      <c r="E153" s="828">
        <f t="shared" si="169"/>
        <v>22907477</v>
      </c>
      <c r="F153" s="828">
        <f t="shared" si="169"/>
        <v>52273</v>
      </c>
      <c r="G153" s="828">
        <f t="shared" si="169"/>
        <v>420000</v>
      </c>
      <c r="H153" s="827">
        <f t="shared" si="169"/>
        <v>0</v>
      </c>
      <c r="I153" s="826">
        <f t="shared" ref="I153:N153" si="170">+I154+I156</f>
        <v>23379749.850000001</v>
      </c>
      <c r="J153" s="842">
        <f t="shared" si="170"/>
        <v>22907477</v>
      </c>
      <c r="K153" s="826">
        <f>+K154+K156</f>
        <v>52272.85</v>
      </c>
      <c r="L153" s="828">
        <f t="shared" si="170"/>
        <v>420000</v>
      </c>
      <c r="M153" s="843">
        <f t="shared" si="170"/>
        <v>0</v>
      </c>
      <c r="N153" s="826">
        <f t="shared" si="170"/>
        <v>22959749.850000001</v>
      </c>
      <c r="O153" s="830">
        <f t="shared" si="159"/>
        <v>98.203572963782776</v>
      </c>
      <c r="P153" s="828">
        <f>+P154+P156</f>
        <v>0</v>
      </c>
      <c r="Q153" s="830">
        <f t="shared" si="160"/>
        <v>0</v>
      </c>
      <c r="R153" s="828">
        <f t="shared" si="155"/>
        <v>-420000</v>
      </c>
      <c r="S153" s="2824"/>
      <c r="T153" s="537"/>
    </row>
    <row r="154" spans="1:20" ht="14.25" customHeight="1" x14ac:dyDescent="0.2">
      <c r="A154" s="2810"/>
      <c r="B154" s="819" t="s">
        <v>18</v>
      </c>
      <c r="C154" s="2771" t="s">
        <v>46</v>
      </c>
      <c r="D154" s="774">
        <f t="shared" ref="D154:N154" si="171">+D155</f>
        <v>6630649</v>
      </c>
      <c r="E154" s="775">
        <f t="shared" si="171"/>
        <v>6183520</v>
      </c>
      <c r="F154" s="775">
        <f t="shared" si="171"/>
        <v>27129</v>
      </c>
      <c r="G154" s="775">
        <f t="shared" si="171"/>
        <v>420000</v>
      </c>
      <c r="H154" s="802">
        <f t="shared" si="171"/>
        <v>0</v>
      </c>
      <c r="I154" s="774">
        <f t="shared" si="171"/>
        <v>6630648.8499999996</v>
      </c>
      <c r="J154" s="844">
        <f t="shared" si="171"/>
        <v>6183520</v>
      </c>
      <c r="K154" s="774">
        <f>+K155</f>
        <v>27128.85</v>
      </c>
      <c r="L154" s="775">
        <f t="shared" si="171"/>
        <v>420000</v>
      </c>
      <c r="M154" s="803">
        <f t="shared" si="171"/>
        <v>0</v>
      </c>
      <c r="N154" s="774">
        <f t="shared" si="171"/>
        <v>6210648.8499999996</v>
      </c>
      <c r="O154" s="779">
        <f t="shared" si="159"/>
        <v>93.665776155546752</v>
      </c>
      <c r="P154" s="776">
        <f>+P155</f>
        <v>0</v>
      </c>
      <c r="Q154" s="779">
        <f t="shared" si="160"/>
        <v>0</v>
      </c>
      <c r="R154" s="775">
        <f t="shared" si="155"/>
        <v>-420000</v>
      </c>
      <c r="S154" s="2824"/>
      <c r="T154" s="537"/>
    </row>
    <row r="155" spans="1:20" ht="12.75" customHeight="1" x14ac:dyDescent="0.2">
      <c r="A155" s="2810"/>
      <c r="B155" s="696" t="s">
        <v>5</v>
      </c>
      <c r="C155" s="2816"/>
      <c r="D155" s="697">
        <f>++E155+F155+G155+H155</f>
        <v>6630649</v>
      </c>
      <c r="E155" s="699">
        <f>38866+2553458+3591196</f>
        <v>6183520</v>
      </c>
      <c r="F155" s="699">
        <v>27129</v>
      </c>
      <c r="G155" s="699">
        <v>420000</v>
      </c>
      <c r="H155" s="698">
        <v>0</v>
      </c>
      <c r="I155" s="697">
        <f>++J155+K155+L155+M155</f>
        <v>6630648.8499999996</v>
      </c>
      <c r="J155" s="845">
        <f>38866+2553458+3591196</f>
        <v>6183520</v>
      </c>
      <c r="K155" s="701">
        <v>27128.85</v>
      </c>
      <c r="L155" s="699">
        <v>420000</v>
      </c>
      <c r="M155" s="700">
        <v>0</v>
      </c>
      <c r="N155" s="701">
        <f>J155+K155+P155</f>
        <v>6210648.8499999996</v>
      </c>
      <c r="O155" s="702">
        <f t="shared" si="159"/>
        <v>93.665776155546752</v>
      </c>
      <c r="P155" s="699">
        <v>0</v>
      </c>
      <c r="Q155" s="702">
        <f t="shared" si="160"/>
        <v>0</v>
      </c>
      <c r="R155" s="699">
        <f t="shared" si="155"/>
        <v>-420000</v>
      </c>
      <c r="S155" s="2824"/>
      <c r="T155" s="537"/>
    </row>
    <row r="156" spans="1:20" x14ac:dyDescent="0.2">
      <c r="A156" s="2810"/>
      <c r="B156" s="703" t="s">
        <v>13</v>
      </c>
      <c r="C156" s="2816"/>
      <c r="D156" s="704">
        <f t="shared" ref="D156:N156" si="172">+D157</f>
        <v>16749101</v>
      </c>
      <c r="E156" s="705">
        <f t="shared" si="172"/>
        <v>16723957</v>
      </c>
      <c r="F156" s="705">
        <f t="shared" si="172"/>
        <v>25144</v>
      </c>
      <c r="G156" s="802">
        <f t="shared" si="172"/>
        <v>0</v>
      </c>
      <c r="H156" s="707">
        <f t="shared" si="172"/>
        <v>0</v>
      </c>
      <c r="I156" s="704">
        <f t="shared" si="172"/>
        <v>16749101</v>
      </c>
      <c r="J156" s="846">
        <f t="shared" si="172"/>
        <v>16723957</v>
      </c>
      <c r="K156" s="704">
        <f>+K157</f>
        <v>25144</v>
      </c>
      <c r="L156" s="802">
        <f t="shared" si="172"/>
        <v>0</v>
      </c>
      <c r="M156" s="707">
        <f t="shared" si="172"/>
        <v>0</v>
      </c>
      <c r="N156" s="704">
        <f t="shared" si="172"/>
        <v>16749101</v>
      </c>
      <c r="O156" s="708">
        <f t="shared" si="159"/>
        <v>100</v>
      </c>
      <c r="P156" s="802">
        <f>+P157</f>
        <v>0</v>
      </c>
      <c r="Q156" s="706">
        <v>0</v>
      </c>
      <c r="R156" s="847">
        <f t="shared" si="155"/>
        <v>0</v>
      </c>
      <c r="S156" s="2824"/>
      <c r="T156" s="537"/>
    </row>
    <row r="157" spans="1:20" ht="13.5" customHeight="1" x14ac:dyDescent="0.2">
      <c r="A157" s="2810"/>
      <c r="B157" s="696" t="s">
        <v>15</v>
      </c>
      <c r="C157" s="2816"/>
      <c r="D157" s="697">
        <f>+E157+F157+G157</f>
        <v>16749101</v>
      </c>
      <c r="E157" s="699">
        <f>102218+7570373+9051366</f>
        <v>16723957</v>
      </c>
      <c r="F157" s="699">
        <v>25144</v>
      </c>
      <c r="G157" s="698">
        <v>0</v>
      </c>
      <c r="H157" s="700">
        <v>0</v>
      </c>
      <c r="I157" s="697">
        <f>+J157+K157+L157</f>
        <v>16749101</v>
      </c>
      <c r="J157" s="699">
        <f>102218+7570373+9051366</f>
        <v>16723957</v>
      </c>
      <c r="K157" s="699">
        <v>25144</v>
      </c>
      <c r="L157" s="698">
        <v>0</v>
      </c>
      <c r="M157" s="700">
        <v>0</v>
      </c>
      <c r="N157" s="701">
        <f>J157+K157+P157</f>
        <v>16749101</v>
      </c>
      <c r="O157" s="702">
        <f t="shared" si="159"/>
        <v>100</v>
      </c>
      <c r="P157" s="698">
        <v>0</v>
      </c>
      <c r="Q157" s="698">
        <v>0</v>
      </c>
      <c r="R157" s="848">
        <f t="shared" si="155"/>
        <v>0</v>
      </c>
      <c r="S157" s="2824"/>
      <c r="T157" s="537"/>
    </row>
    <row r="158" spans="1:20" x14ac:dyDescent="0.2">
      <c r="A158" s="2811"/>
      <c r="B158" s="565" t="s">
        <v>17</v>
      </c>
      <c r="C158" s="566"/>
      <c r="D158" s="826">
        <f>+D159</f>
        <v>16749101</v>
      </c>
      <c r="E158" s="828">
        <f t="shared" ref="E158:H159" si="173">+E159</f>
        <v>15424338</v>
      </c>
      <c r="F158" s="828">
        <f t="shared" si="173"/>
        <v>462263</v>
      </c>
      <c r="G158" s="828">
        <f t="shared" si="173"/>
        <v>862500</v>
      </c>
      <c r="H158" s="843">
        <f t="shared" si="173"/>
        <v>0</v>
      </c>
      <c r="I158" s="826">
        <f>+I159</f>
        <v>16749101</v>
      </c>
      <c r="J158" s="828">
        <f t="shared" ref="J158:M159" si="174">+J159</f>
        <v>15424338</v>
      </c>
      <c r="K158" s="828">
        <f>+K159</f>
        <v>462263</v>
      </c>
      <c r="L158" s="828">
        <f t="shared" si="174"/>
        <v>862500</v>
      </c>
      <c r="M158" s="843">
        <f t="shared" si="174"/>
        <v>0</v>
      </c>
      <c r="N158" s="826">
        <f>+N159</f>
        <v>15886601</v>
      </c>
      <c r="O158" s="830">
        <f t="shared" si="159"/>
        <v>94.850469884920983</v>
      </c>
      <c r="P158" s="828">
        <f>+P159</f>
        <v>0</v>
      </c>
      <c r="Q158" s="830">
        <f t="shared" si="160"/>
        <v>0</v>
      </c>
      <c r="R158" s="849">
        <f t="shared" si="155"/>
        <v>-862500</v>
      </c>
      <c r="S158" s="2816"/>
      <c r="T158" s="537"/>
    </row>
    <row r="159" spans="1:20" ht="12.75" customHeight="1" x14ac:dyDescent="0.2">
      <c r="A159" s="2811"/>
      <c r="B159" s="703" t="s">
        <v>13</v>
      </c>
      <c r="C159" s="2825" t="s">
        <v>57</v>
      </c>
      <c r="D159" s="704">
        <f>+D160</f>
        <v>16749101</v>
      </c>
      <c r="E159" s="705">
        <f t="shared" si="173"/>
        <v>15424338</v>
      </c>
      <c r="F159" s="705">
        <f t="shared" si="173"/>
        <v>462263</v>
      </c>
      <c r="G159" s="705">
        <f t="shared" si="173"/>
        <v>862500</v>
      </c>
      <c r="H159" s="707">
        <f t="shared" si="173"/>
        <v>0</v>
      </c>
      <c r="I159" s="704">
        <f>+I160</f>
        <v>16749101</v>
      </c>
      <c r="J159" s="705">
        <f t="shared" si="174"/>
        <v>15424338</v>
      </c>
      <c r="K159" s="705">
        <f>+K160</f>
        <v>462263</v>
      </c>
      <c r="L159" s="705">
        <f t="shared" si="174"/>
        <v>862500</v>
      </c>
      <c r="M159" s="707">
        <f t="shared" si="174"/>
        <v>0</v>
      </c>
      <c r="N159" s="704">
        <f>+N160</f>
        <v>15886601</v>
      </c>
      <c r="O159" s="708">
        <f t="shared" si="159"/>
        <v>94.850469884920983</v>
      </c>
      <c r="P159" s="705">
        <f>+P160</f>
        <v>0</v>
      </c>
      <c r="Q159" s="708">
        <f t="shared" si="160"/>
        <v>0</v>
      </c>
      <c r="R159" s="705">
        <f t="shared" si="155"/>
        <v>-862500</v>
      </c>
      <c r="S159" s="2816"/>
      <c r="T159" s="537"/>
    </row>
    <row r="160" spans="1:20" ht="15" customHeight="1" thickBot="1" x14ac:dyDescent="0.25">
      <c r="A160" s="2812"/>
      <c r="B160" s="717" t="s">
        <v>15</v>
      </c>
      <c r="C160" s="2818"/>
      <c r="D160" s="718">
        <f>++E160+F160+G160+H160</f>
        <v>16749101</v>
      </c>
      <c r="E160" s="720">
        <v>15424338</v>
      </c>
      <c r="F160" s="720">
        <v>462263</v>
      </c>
      <c r="G160" s="720">
        <v>862500</v>
      </c>
      <c r="H160" s="850">
        <v>0</v>
      </c>
      <c r="I160" s="718">
        <f>++J160+K160+L160+M160</f>
        <v>16749101</v>
      </c>
      <c r="J160" s="720">
        <v>15424338</v>
      </c>
      <c r="K160" s="720">
        <v>462263</v>
      </c>
      <c r="L160" s="720">
        <v>862500</v>
      </c>
      <c r="M160" s="850">
        <v>0</v>
      </c>
      <c r="N160" s="722">
        <f>J160+K160+P160</f>
        <v>15886601</v>
      </c>
      <c r="O160" s="723">
        <f t="shared" si="159"/>
        <v>94.850469884920983</v>
      </c>
      <c r="P160" s="720">
        <v>0</v>
      </c>
      <c r="Q160" s="723">
        <f t="shared" si="160"/>
        <v>0</v>
      </c>
      <c r="R160" s="720">
        <f t="shared" si="155"/>
        <v>-862500</v>
      </c>
      <c r="S160" s="2818"/>
      <c r="T160" s="537"/>
    </row>
    <row r="161" spans="1:20" ht="27.75" customHeight="1" x14ac:dyDescent="0.2">
      <c r="A161" s="2809" t="s">
        <v>56</v>
      </c>
      <c r="B161" s="746" t="s">
        <v>332</v>
      </c>
      <c r="C161" s="676" t="s">
        <v>225</v>
      </c>
      <c r="D161" s="680"/>
      <c r="E161" s="678"/>
      <c r="F161" s="678"/>
      <c r="G161" s="678"/>
      <c r="H161" s="679"/>
      <c r="I161" s="680"/>
      <c r="J161" s="678"/>
      <c r="K161" s="678"/>
      <c r="L161" s="678"/>
      <c r="M161" s="679"/>
      <c r="N161" s="680"/>
      <c r="O161" s="681"/>
      <c r="P161" s="678"/>
      <c r="Q161" s="681"/>
      <c r="R161" s="678"/>
      <c r="S161" s="2823" t="s">
        <v>45</v>
      </c>
      <c r="T161" s="537"/>
    </row>
    <row r="162" spans="1:20" x14ac:dyDescent="0.2">
      <c r="A162" s="2810"/>
      <c r="B162" s="565" t="s">
        <v>3</v>
      </c>
      <c r="C162" s="566"/>
      <c r="D162" s="817">
        <f t="shared" ref="D162:H162" si="175">+D163+D166</f>
        <v>15071832</v>
      </c>
      <c r="E162" s="815">
        <f t="shared" si="175"/>
        <v>15011832</v>
      </c>
      <c r="F162" s="851">
        <f t="shared" si="175"/>
        <v>0</v>
      </c>
      <c r="G162" s="815">
        <f t="shared" si="175"/>
        <v>60000</v>
      </c>
      <c r="H162" s="851">
        <f t="shared" si="175"/>
        <v>0</v>
      </c>
      <c r="I162" s="817">
        <f t="shared" ref="I162:N162" si="176">+I163+I166</f>
        <v>15071832</v>
      </c>
      <c r="J162" s="815">
        <f t="shared" si="176"/>
        <v>15011832</v>
      </c>
      <c r="K162" s="851">
        <f t="shared" si="176"/>
        <v>0</v>
      </c>
      <c r="L162" s="815">
        <f t="shared" si="176"/>
        <v>60000</v>
      </c>
      <c r="M162" s="852">
        <f t="shared" si="176"/>
        <v>0</v>
      </c>
      <c r="N162" s="817">
        <f t="shared" si="176"/>
        <v>15030702</v>
      </c>
      <c r="O162" s="818">
        <f t="shared" si="159"/>
        <v>99.727106830808623</v>
      </c>
      <c r="P162" s="815">
        <f>+P163+P166</f>
        <v>18870</v>
      </c>
      <c r="Q162" s="818">
        <f t="shared" si="160"/>
        <v>31.45</v>
      </c>
      <c r="R162" s="815">
        <f t="shared" si="155"/>
        <v>-41130</v>
      </c>
      <c r="S162" s="2824"/>
      <c r="T162" s="537"/>
    </row>
    <row r="163" spans="1:20" ht="13.5" customHeight="1" x14ac:dyDescent="0.2">
      <c r="A163" s="2810"/>
      <c r="B163" s="819" t="s">
        <v>18</v>
      </c>
      <c r="C163" s="2771" t="s">
        <v>46</v>
      </c>
      <c r="D163" s="820">
        <f t="shared" ref="D163:H163" si="177">+D164+D165</f>
        <v>6515981</v>
      </c>
      <c r="E163" s="821">
        <f t="shared" si="177"/>
        <v>6455981</v>
      </c>
      <c r="F163" s="853">
        <f t="shared" si="177"/>
        <v>0</v>
      </c>
      <c r="G163" s="821">
        <f t="shared" si="177"/>
        <v>60000</v>
      </c>
      <c r="H163" s="853">
        <f t="shared" si="177"/>
        <v>0</v>
      </c>
      <c r="I163" s="820">
        <f t="shared" ref="I163:N163" si="178">+I164+I165</f>
        <v>6515981</v>
      </c>
      <c r="J163" s="821">
        <f t="shared" si="178"/>
        <v>6455981</v>
      </c>
      <c r="K163" s="853">
        <f t="shared" si="178"/>
        <v>0</v>
      </c>
      <c r="L163" s="821">
        <f t="shared" si="178"/>
        <v>60000</v>
      </c>
      <c r="M163" s="854">
        <f t="shared" si="178"/>
        <v>0</v>
      </c>
      <c r="N163" s="820">
        <f t="shared" si="178"/>
        <v>6474851</v>
      </c>
      <c r="O163" s="823">
        <f t="shared" si="159"/>
        <v>99.368782689820605</v>
      </c>
      <c r="P163" s="821">
        <f>+P164+P165</f>
        <v>18870</v>
      </c>
      <c r="Q163" s="823">
        <f t="shared" si="160"/>
        <v>31.45</v>
      </c>
      <c r="R163" s="821">
        <f t="shared" si="155"/>
        <v>-41130</v>
      </c>
      <c r="S163" s="2824"/>
      <c r="T163" s="537"/>
    </row>
    <row r="164" spans="1:20" x14ac:dyDescent="0.2">
      <c r="A164" s="2810"/>
      <c r="B164" s="696" t="s">
        <v>5</v>
      </c>
      <c r="C164" s="2816"/>
      <c r="D164" s="697">
        <f>++E164+F164+G164+H164</f>
        <v>3065738</v>
      </c>
      <c r="E164" s="699">
        <f>40672+1896868+1068198</f>
        <v>3005738</v>
      </c>
      <c r="F164" s="735">
        <v>0</v>
      </c>
      <c r="G164" s="733">
        <v>60000</v>
      </c>
      <c r="H164" s="735">
        <v>0</v>
      </c>
      <c r="I164" s="697">
        <f>++J164+K164+L164+M164</f>
        <v>3065738</v>
      </c>
      <c r="J164" s="699">
        <f>40672+1896868+1068198</f>
        <v>3005738</v>
      </c>
      <c r="K164" s="735">
        <v>0</v>
      </c>
      <c r="L164" s="733">
        <v>60000</v>
      </c>
      <c r="M164" s="736">
        <v>0</v>
      </c>
      <c r="N164" s="701">
        <f>J164+K164+P164</f>
        <v>3024608</v>
      </c>
      <c r="O164" s="734">
        <f t="shared" si="159"/>
        <v>98.65839807576512</v>
      </c>
      <c r="P164" s="733">
        <v>18870</v>
      </c>
      <c r="Q164" s="734">
        <f t="shared" si="160"/>
        <v>31.45</v>
      </c>
      <c r="R164" s="699">
        <f t="shared" si="155"/>
        <v>-41130</v>
      </c>
      <c r="S164" s="2824"/>
      <c r="T164" s="537"/>
    </row>
    <row r="165" spans="1:20" ht="10.5" customHeight="1" x14ac:dyDescent="0.2">
      <c r="A165" s="2810"/>
      <c r="B165" s="855" t="s">
        <v>10</v>
      </c>
      <c r="C165" s="2816"/>
      <c r="D165" s="697">
        <f>++E165+F165+G165</f>
        <v>3450243</v>
      </c>
      <c r="E165" s="733">
        <f>1666139+1784104</f>
        <v>3450243</v>
      </c>
      <c r="F165" s="735">
        <v>0</v>
      </c>
      <c r="G165" s="735">
        <v>0</v>
      </c>
      <c r="H165" s="736">
        <v>0</v>
      </c>
      <c r="I165" s="697">
        <f>++J165+K165+L165</f>
        <v>3450243</v>
      </c>
      <c r="J165" s="733">
        <f>1666139+1784104</f>
        <v>3450243</v>
      </c>
      <c r="K165" s="735">
        <v>0</v>
      </c>
      <c r="L165" s="735">
        <v>0</v>
      </c>
      <c r="M165" s="736">
        <v>0</v>
      </c>
      <c r="N165" s="701">
        <f>J165+K165+P165</f>
        <v>3450243</v>
      </c>
      <c r="O165" s="734">
        <f t="shared" si="159"/>
        <v>100</v>
      </c>
      <c r="P165" s="698">
        <v>0</v>
      </c>
      <c r="Q165" s="735">
        <v>0</v>
      </c>
      <c r="R165" s="699">
        <f t="shared" si="155"/>
        <v>0</v>
      </c>
      <c r="S165" s="2824"/>
      <c r="T165" s="537"/>
    </row>
    <row r="166" spans="1:20" ht="12.75" customHeight="1" x14ac:dyDescent="0.2">
      <c r="A166" s="2810"/>
      <c r="B166" s="703" t="s">
        <v>13</v>
      </c>
      <c r="C166" s="2816"/>
      <c r="D166" s="704">
        <f t="shared" ref="D166:H166" si="179">+D167</f>
        <v>8555851</v>
      </c>
      <c r="E166" s="705">
        <f t="shared" si="179"/>
        <v>8555851</v>
      </c>
      <c r="F166" s="706">
        <f t="shared" si="179"/>
        <v>0</v>
      </c>
      <c r="G166" s="706">
        <f t="shared" si="179"/>
        <v>0</v>
      </c>
      <c r="H166" s="707">
        <f t="shared" si="179"/>
        <v>0</v>
      </c>
      <c r="I166" s="704">
        <f t="shared" ref="I166:N166" si="180">+I167</f>
        <v>8555851</v>
      </c>
      <c r="J166" s="705">
        <f t="shared" si="180"/>
        <v>8555851</v>
      </c>
      <c r="K166" s="706">
        <f t="shared" si="180"/>
        <v>0</v>
      </c>
      <c r="L166" s="706">
        <f t="shared" si="180"/>
        <v>0</v>
      </c>
      <c r="M166" s="707">
        <f t="shared" si="180"/>
        <v>0</v>
      </c>
      <c r="N166" s="704">
        <f t="shared" si="180"/>
        <v>8555851</v>
      </c>
      <c r="O166" s="708">
        <f t="shared" si="159"/>
        <v>100</v>
      </c>
      <c r="P166" s="706">
        <f>+P167</f>
        <v>0</v>
      </c>
      <c r="Q166" s="706">
        <v>0</v>
      </c>
      <c r="R166" s="705">
        <f t="shared" si="155"/>
        <v>0</v>
      </c>
      <c r="S166" s="2824"/>
      <c r="T166" s="537"/>
    </row>
    <row r="167" spans="1:20" x14ac:dyDescent="0.2">
      <c r="A167" s="2810"/>
      <c r="B167" s="696" t="s">
        <v>15</v>
      </c>
      <c r="C167" s="2816"/>
      <c r="D167" s="697">
        <f>+E167+F167+G167</f>
        <v>8555851</v>
      </c>
      <c r="E167" s="699">
        <f>53939+5427454+3074458</f>
        <v>8555851</v>
      </c>
      <c r="F167" s="735">
        <v>0</v>
      </c>
      <c r="G167" s="735">
        <v>0</v>
      </c>
      <c r="H167" s="736">
        <v>0</v>
      </c>
      <c r="I167" s="697">
        <f>+J167+K167+L167</f>
        <v>8555851</v>
      </c>
      <c r="J167" s="699">
        <f>53939+5427454+3074458</f>
        <v>8555851</v>
      </c>
      <c r="K167" s="735">
        <v>0</v>
      </c>
      <c r="L167" s="735">
        <v>0</v>
      </c>
      <c r="M167" s="736">
        <v>0</v>
      </c>
      <c r="N167" s="701">
        <f>J167+K167+P167</f>
        <v>8555851</v>
      </c>
      <c r="O167" s="734">
        <f t="shared" si="159"/>
        <v>100</v>
      </c>
      <c r="P167" s="698">
        <v>0</v>
      </c>
      <c r="Q167" s="735">
        <v>0</v>
      </c>
      <c r="R167" s="699">
        <f t="shared" si="155"/>
        <v>0</v>
      </c>
      <c r="S167" s="2824"/>
      <c r="T167" s="537"/>
    </row>
    <row r="168" spans="1:20" x14ac:dyDescent="0.2">
      <c r="A168" s="2811"/>
      <c r="B168" s="565" t="s">
        <v>17</v>
      </c>
      <c r="C168" s="566"/>
      <c r="D168" s="826">
        <f>+D169+D171</f>
        <v>12006094</v>
      </c>
      <c r="E168" s="828">
        <f>+E169+E171</f>
        <v>12006094</v>
      </c>
      <c r="F168" s="827">
        <f>+F169+F171</f>
        <v>0</v>
      </c>
      <c r="G168" s="827">
        <f>+G169+G171</f>
        <v>0</v>
      </c>
      <c r="H168" s="843">
        <f>+H169</f>
        <v>0</v>
      </c>
      <c r="I168" s="826">
        <f>+I169+I171</f>
        <v>12006094</v>
      </c>
      <c r="J168" s="828">
        <f>+J169+J171</f>
        <v>12006094</v>
      </c>
      <c r="K168" s="827">
        <f>+K169+K171</f>
        <v>0</v>
      </c>
      <c r="L168" s="827">
        <f>+L169+L171</f>
        <v>0</v>
      </c>
      <c r="M168" s="843">
        <f>+M169</f>
        <v>0</v>
      </c>
      <c r="N168" s="826">
        <f>+N169+N171</f>
        <v>12006094</v>
      </c>
      <c r="O168" s="830">
        <f t="shared" si="159"/>
        <v>100</v>
      </c>
      <c r="P168" s="827">
        <f>+P169+P171</f>
        <v>0</v>
      </c>
      <c r="Q168" s="827">
        <v>0</v>
      </c>
      <c r="R168" s="828">
        <f t="shared" si="155"/>
        <v>0</v>
      </c>
      <c r="S168" s="2816"/>
      <c r="T168" s="537"/>
    </row>
    <row r="169" spans="1:20" ht="13.5" customHeight="1" x14ac:dyDescent="0.2">
      <c r="A169" s="2811"/>
      <c r="B169" s="819" t="s">
        <v>18</v>
      </c>
      <c r="C169" s="2825" t="s">
        <v>59</v>
      </c>
      <c r="D169" s="704">
        <f>+D170</f>
        <v>3450243</v>
      </c>
      <c r="E169" s="705">
        <f>+E170</f>
        <v>3450243</v>
      </c>
      <c r="F169" s="706">
        <f>+F170</f>
        <v>0</v>
      </c>
      <c r="G169" s="706">
        <f>+G170</f>
        <v>0</v>
      </c>
      <c r="H169" s="707">
        <f>+H170</f>
        <v>0</v>
      </c>
      <c r="I169" s="704">
        <f>+I170</f>
        <v>3450243</v>
      </c>
      <c r="J169" s="705">
        <f>+J170</f>
        <v>3450243</v>
      </c>
      <c r="K169" s="706">
        <f>+K170</f>
        <v>0</v>
      </c>
      <c r="L169" s="706">
        <f>+L170</f>
        <v>0</v>
      </c>
      <c r="M169" s="707">
        <f>+M170</f>
        <v>0</v>
      </c>
      <c r="N169" s="704">
        <f>+N170</f>
        <v>3450243</v>
      </c>
      <c r="O169" s="708">
        <f t="shared" si="159"/>
        <v>100</v>
      </c>
      <c r="P169" s="706">
        <f>+P170</f>
        <v>0</v>
      </c>
      <c r="Q169" s="706">
        <v>0</v>
      </c>
      <c r="R169" s="705">
        <f t="shared" si="155"/>
        <v>0</v>
      </c>
      <c r="S169" s="2816"/>
      <c r="T169" s="537"/>
    </row>
    <row r="170" spans="1:20" ht="13.5" customHeight="1" x14ac:dyDescent="0.2">
      <c r="A170" s="2811"/>
      <c r="B170" s="855" t="s">
        <v>10</v>
      </c>
      <c r="C170" s="2826"/>
      <c r="D170" s="697">
        <f>+E170+F170+G170</f>
        <v>3450243</v>
      </c>
      <c r="E170" s="800">
        <f>1666139+1784104</f>
        <v>3450243</v>
      </c>
      <c r="F170" s="809">
        <v>0</v>
      </c>
      <c r="G170" s="809">
        <v>0</v>
      </c>
      <c r="H170" s="736">
        <v>0</v>
      </c>
      <c r="I170" s="697">
        <f>+J170+K170+L170</f>
        <v>3450243</v>
      </c>
      <c r="J170" s="800">
        <f>1666139+1784104</f>
        <v>3450243</v>
      </c>
      <c r="K170" s="809">
        <v>0</v>
      </c>
      <c r="L170" s="809">
        <v>0</v>
      </c>
      <c r="M170" s="736">
        <v>0</v>
      </c>
      <c r="N170" s="701">
        <f>J170+K170+P170</f>
        <v>3450243</v>
      </c>
      <c r="O170" s="801">
        <f t="shared" si="159"/>
        <v>100</v>
      </c>
      <c r="P170" s="809">
        <v>0</v>
      </c>
      <c r="Q170" s="809">
        <v>0</v>
      </c>
      <c r="R170" s="699">
        <f t="shared" si="155"/>
        <v>0</v>
      </c>
      <c r="S170" s="2816"/>
      <c r="T170" s="537"/>
    </row>
    <row r="171" spans="1:20" ht="12" customHeight="1" x14ac:dyDescent="0.2">
      <c r="A171" s="2811"/>
      <c r="B171" s="703" t="s">
        <v>13</v>
      </c>
      <c r="C171" s="2826"/>
      <c r="D171" s="704">
        <f t="shared" ref="D171:H171" si="181">+D172</f>
        <v>8555851</v>
      </c>
      <c r="E171" s="705">
        <f t="shared" si="181"/>
        <v>8555851</v>
      </c>
      <c r="F171" s="706">
        <f t="shared" si="181"/>
        <v>0</v>
      </c>
      <c r="G171" s="706">
        <f t="shared" si="181"/>
        <v>0</v>
      </c>
      <c r="H171" s="707">
        <f t="shared" si="181"/>
        <v>0</v>
      </c>
      <c r="I171" s="704">
        <f t="shared" ref="I171:N171" si="182">+I172</f>
        <v>8555851</v>
      </c>
      <c r="J171" s="705">
        <f t="shared" si="182"/>
        <v>8555851</v>
      </c>
      <c r="K171" s="706">
        <f t="shared" si="182"/>
        <v>0</v>
      </c>
      <c r="L171" s="706">
        <f t="shared" si="182"/>
        <v>0</v>
      </c>
      <c r="M171" s="707">
        <f t="shared" si="182"/>
        <v>0</v>
      </c>
      <c r="N171" s="704">
        <f t="shared" si="182"/>
        <v>8555851</v>
      </c>
      <c r="O171" s="708">
        <f t="shared" si="159"/>
        <v>100</v>
      </c>
      <c r="P171" s="706">
        <f>+P172</f>
        <v>0</v>
      </c>
      <c r="Q171" s="706">
        <v>0</v>
      </c>
      <c r="R171" s="705">
        <f t="shared" si="155"/>
        <v>0</v>
      </c>
      <c r="S171" s="2816"/>
      <c r="T171" s="537"/>
    </row>
    <row r="172" spans="1:20" ht="13.5" customHeight="1" thickBot="1" x14ac:dyDescent="0.25">
      <c r="A172" s="2812"/>
      <c r="B172" s="717" t="s">
        <v>15</v>
      </c>
      <c r="C172" s="2827"/>
      <c r="D172" s="718">
        <f>+E172+F172+G172</f>
        <v>8555851</v>
      </c>
      <c r="E172" s="720">
        <f>3895966+4659885</f>
        <v>8555851</v>
      </c>
      <c r="F172" s="719">
        <v>0</v>
      </c>
      <c r="G172" s="719">
        <v>0</v>
      </c>
      <c r="H172" s="761">
        <v>0</v>
      </c>
      <c r="I172" s="718">
        <f>+J172+K172+L172</f>
        <v>8555851</v>
      </c>
      <c r="J172" s="720">
        <f>3895966+4659885</f>
        <v>8555851</v>
      </c>
      <c r="K172" s="719">
        <v>0</v>
      </c>
      <c r="L172" s="719">
        <v>0</v>
      </c>
      <c r="M172" s="761">
        <v>0</v>
      </c>
      <c r="N172" s="722">
        <f>J172+K172+P172</f>
        <v>8555851</v>
      </c>
      <c r="O172" s="723">
        <f t="shared" si="159"/>
        <v>100</v>
      </c>
      <c r="P172" s="719">
        <v>0</v>
      </c>
      <c r="Q172" s="719">
        <v>0</v>
      </c>
      <c r="R172" s="720">
        <f t="shared" si="155"/>
        <v>0</v>
      </c>
      <c r="S172" s="2818"/>
      <c r="T172" s="537"/>
    </row>
    <row r="173" spans="1:20" ht="28.5" customHeight="1" x14ac:dyDescent="0.2">
      <c r="A173" s="2809" t="s">
        <v>58</v>
      </c>
      <c r="B173" s="746" t="s">
        <v>61</v>
      </c>
      <c r="C173" s="676" t="s">
        <v>225</v>
      </c>
      <c r="D173" s="680"/>
      <c r="E173" s="678"/>
      <c r="F173" s="678"/>
      <c r="G173" s="678"/>
      <c r="H173" s="679"/>
      <c r="I173" s="680"/>
      <c r="J173" s="678"/>
      <c r="K173" s="678"/>
      <c r="L173" s="678"/>
      <c r="M173" s="679"/>
      <c r="N173" s="680"/>
      <c r="O173" s="681"/>
      <c r="P173" s="678"/>
      <c r="Q173" s="681"/>
      <c r="R173" s="678"/>
      <c r="S173" s="2823" t="s">
        <v>45</v>
      </c>
      <c r="T173" s="537"/>
    </row>
    <row r="174" spans="1:20" ht="13.5" customHeight="1" x14ac:dyDescent="0.2">
      <c r="A174" s="2810"/>
      <c r="B174" s="565" t="s">
        <v>3</v>
      </c>
      <c r="C174" s="566"/>
      <c r="D174" s="826">
        <f t="shared" ref="D174" si="183">+D175+D177</f>
        <v>17251847</v>
      </c>
      <c r="E174" s="828">
        <f>+E175+E177</f>
        <v>17063527</v>
      </c>
      <c r="F174" s="828">
        <f t="shared" ref="F174:H174" si="184">+F175+F177</f>
        <v>188320</v>
      </c>
      <c r="G174" s="827">
        <f t="shared" si="184"/>
        <v>0</v>
      </c>
      <c r="H174" s="843">
        <f t="shared" si="184"/>
        <v>0</v>
      </c>
      <c r="I174" s="826">
        <f t="shared" ref="I174:N174" si="185">+I175+I177</f>
        <v>17251847</v>
      </c>
      <c r="J174" s="828">
        <f>+J175+J177</f>
        <v>17063527</v>
      </c>
      <c r="K174" s="828">
        <f>+K175+K177</f>
        <v>188320</v>
      </c>
      <c r="L174" s="827">
        <f t="shared" si="185"/>
        <v>0</v>
      </c>
      <c r="M174" s="843">
        <f t="shared" si="185"/>
        <v>0</v>
      </c>
      <c r="N174" s="826">
        <f t="shared" si="185"/>
        <v>17251847</v>
      </c>
      <c r="O174" s="830">
        <f t="shared" si="159"/>
        <v>100</v>
      </c>
      <c r="P174" s="827">
        <f>+P175+P177</f>
        <v>0</v>
      </c>
      <c r="Q174" s="827">
        <v>0</v>
      </c>
      <c r="R174" s="828">
        <f t="shared" si="155"/>
        <v>0</v>
      </c>
      <c r="S174" s="2824"/>
      <c r="T174" s="537"/>
    </row>
    <row r="175" spans="1:20" ht="13.5" customHeight="1" x14ac:dyDescent="0.2">
      <c r="A175" s="2810"/>
      <c r="B175" s="819" t="s">
        <v>18</v>
      </c>
      <c r="C175" s="2771" t="s">
        <v>46</v>
      </c>
      <c r="D175" s="856">
        <f t="shared" ref="D175:N175" si="186">+D176</f>
        <v>8116221</v>
      </c>
      <c r="E175" s="857">
        <f t="shared" si="186"/>
        <v>7927901</v>
      </c>
      <c r="F175" s="857">
        <f t="shared" si="186"/>
        <v>188320</v>
      </c>
      <c r="G175" s="858">
        <f t="shared" si="186"/>
        <v>0</v>
      </c>
      <c r="H175" s="859">
        <f t="shared" si="186"/>
        <v>0</v>
      </c>
      <c r="I175" s="856">
        <f t="shared" si="186"/>
        <v>8116221</v>
      </c>
      <c r="J175" s="857">
        <f t="shared" si="186"/>
        <v>7927901</v>
      </c>
      <c r="K175" s="857">
        <f>+K176</f>
        <v>188320</v>
      </c>
      <c r="L175" s="858">
        <f t="shared" si="186"/>
        <v>0</v>
      </c>
      <c r="M175" s="859">
        <f t="shared" si="186"/>
        <v>0</v>
      </c>
      <c r="N175" s="856">
        <f t="shared" si="186"/>
        <v>8116221</v>
      </c>
      <c r="O175" s="860">
        <f t="shared" si="159"/>
        <v>100</v>
      </c>
      <c r="P175" s="861">
        <f>+P176</f>
        <v>0</v>
      </c>
      <c r="Q175" s="858">
        <v>0</v>
      </c>
      <c r="R175" s="857">
        <f t="shared" si="155"/>
        <v>0</v>
      </c>
      <c r="S175" s="2824"/>
      <c r="T175" s="537"/>
    </row>
    <row r="176" spans="1:20" ht="13.5" customHeight="1" x14ac:dyDescent="0.2">
      <c r="A176" s="2810"/>
      <c r="B176" s="696" t="s">
        <v>5</v>
      </c>
      <c r="C176" s="2816"/>
      <c r="D176" s="697">
        <f>++E176+F176+G176+H176</f>
        <v>8116221</v>
      </c>
      <c r="E176" s="699">
        <f>596228+7331673</f>
        <v>7927901</v>
      </c>
      <c r="F176" s="699">
        <v>188320</v>
      </c>
      <c r="G176" s="698">
        <v>0</v>
      </c>
      <c r="H176" s="807">
        <v>0</v>
      </c>
      <c r="I176" s="697">
        <f>++J176+K176+L176+M176</f>
        <v>8116221</v>
      </c>
      <c r="J176" s="699">
        <f>596228+7331673</f>
        <v>7927901</v>
      </c>
      <c r="K176" s="699">
        <v>188320</v>
      </c>
      <c r="L176" s="698">
        <v>0</v>
      </c>
      <c r="M176" s="807">
        <v>0</v>
      </c>
      <c r="N176" s="701">
        <f>J176+K176+P176</f>
        <v>8116221</v>
      </c>
      <c r="O176" s="702">
        <f t="shared" si="159"/>
        <v>100</v>
      </c>
      <c r="P176" s="698">
        <v>0</v>
      </c>
      <c r="Q176" s="698">
        <v>0</v>
      </c>
      <c r="R176" s="699">
        <f t="shared" si="155"/>
        <v>0</v>
      </c>
      <c r="S176" s="2824"/>
      <c r="T176" s="537"/>
    </row>
    <row r="177" spans="1:20" ht="13.5" customHeight="1" x14ac:dyDescent="0.2">
      <c r="A177" s="2810"/>
      <c r="B177" s="703" t="s">
        <v>13</v>
      </c>
      <c r="C177" s="2816"/>
      <c r="D177" s="704">
        <f t="shared" ref="D177:N177" si="187">+D178</f>
        <v>9135626</v>
      </c>
      <c r="E177" s="705">
        <f t="shared" si="187"/>
        <v>9135626</v>
      </c>
      <c r="F177" s="705">
        <f t="shared" si="187"/>
        <v>0</v>
      </c>
      <c r="G177" s="706">
        <f t="shared" si="187"/>
        <v>0</v>
      </c>
      <c r="H177" s="707">
        <f t="shared" si="187"/>
        <v>0</v>
      </c>
      <c r="I177" s="704">
        <f t="shared" si="187"/>
        <v>9135626</v>
      </c>
      <c r="J177" s="705">
        <f t="shared" si="187"/>
        <v>9135626</v>
      </c>
      <c r="K177" s="706">
        <f>+K178</f>
        <v>0</v>
      </c>
      <c r="L177" s="706">
        <f t="shared" si="187"/>
        <v>0</v>
      </c>
      <c r="M177" s="707">
        <f t="shared" si="187"/>
        <v>0</v>
      </c>
      <c r="N177" s="704">
        <f t="shared" si="187"/>
        <v>9135626</v>
      </c>
      <c r="O177" s="708">
        <f t="shared" si="159"/>
        <v>100</v>
      </c>
      <c r="P177" s="706">
        <f>+P178</f>
        <v>0</v>
      </c>
      <c r="Q177" s="706">
        <v>0</v>
      </c>
      <c r="R177" s="705">
        <f t="shared" si="155"/>
        <v>0</v>
      </c>
      <c r="S177" s="2824"/>
      <c r="T177" s="537"/>
    </row>
    <row r="178" spans="1:20" ht="13.5" customHeight="1" x14ac:dyDescent="0.2">
      <c r="A178" s="2810"/>
      <c r="B178" s="696" t="s">
        <v>15</v>
      </c>
      <c r="C178" s="2816"/>
      <c r="D178" s="697">
        <f>+E178+F178+G178</f>
        <v>9135626</v>
      </c>
      <c r="E178" s="699">
        <f>641280+8494346</f>
        <v>9135626</v>
      </c>
      <c r="F178" s="699">
        <v>0</v>
      </c>
      <c r="G178" s="698">
        <v>0</v>
      </c>
      <c r="H178" s="700">
        <v>0</v>
      </c>
      <c r="I178" s="697">
        <f>+J178+K178+L178</f>
        <v>9135626</v>
      </c>
      <c r="J178" s="699">
        <f>641280+8494346</f>
        <v>9135626</v>
      </c>
      <c r="K178" s="698">
        <v>0</v>
      </c>
      <c r="L178" s="698">
        <v>0</v>
      </c>
      <c r="M178" s="700">
        <v>0</v>
      </c>
      <c r="N178" s="701">
        <f>J178+K178+P178</f>
        <v>9135626</v>
      </c>
      <c r="O178" s="702">
        <f t="shared" si="159"/>
        <v>100</v>
      </c>
      <c r="P178" s="698">
        <v>0</v>
      </c>
      <c r="Q178" s="698">
        <v>0</v>
      </c>
      <c r="R178" s="699">
        <f t="shared" si="155"/>
        <v>0</v>
      </c>
      <c r="S178" s="2824"/>
      <c r="T178" s="537"/>
    </row>
    <row r="179" spans="1:20" ht="13.5" customHeight="1" x14ac:dyDescent="0.2">
      <c r="A179" s="2811"/>
      <c r="B179" s="565" t="s">
        <v>17</v>
      </c>
      <c r="C179" s="566"/>
      <c r="D179" s="826">
        <f t="shared" ref="D179:M180" si="188">+D180</f>
        <v>9135626</v>
      </c>
      <c r="E179" s="828">
        <f t="shared" si="188"/>
        <v>8245223</v>
      </c>
      <c r="F179" s="828">
        <f t="shared" si="188"/>
        <v>890403</v>
      </c>
      <c r="G179" s="827">
        <f t="shared" si="188"/>
        <v>0</v>
      </c>
      <c r="H179" s="843">
        <f t="shared" si="188"/>
        <v>0</v>
      </c>
      <c r="I179" s="826">
        <f t="shared" si="188"/>
        <v>9135626</v>
      </c>
      <c r="J179" s="828">
        <f t="shared" si="188"/>
        <v>8245223</v>
      </c>
      <c r="K179" s="828">
        <f>+K180</f>
        <v>890403</v>
      </c>
      <c r="L179" s="827">
        <f t="shared" si="188"/>
        <v>0</v>
      </c>
      <c r="M179" s="843">
        <f t="shared" si="188"/>
        <v>0</v>
      </c>
      <c r="N179" s="826">
        <f>+N180</f>
        <v>9135626</v>
      </c>
      <c r="O179" s="830">
        <f t="shared" si="159"/>
        <v>100</v>
      </c>
      <c r="P179" s="827">
        <f>+P180</f>
        <v>0</v>
      </c>
      <c r="Q179" s="827">
        <v>0</v>
      </c>
      <c r="R179" s="828">
        <f t="shared" si="155"/>
        <v>0</v>
      </c>
      <c r="S179" s="2816"/>
      <c r="T179" s="537"/>
    </row>
    <row r="180" spans="1:20" ht="12" customHeight="1" x14ac:dyDescent="0.2">
      <c r="A180" s="2811"/>
      <c r="B180" s="703" t="s">
        <v>13</v>
      </c>
      <c r="C180" s="2771" t="s">
        <v>42</v>
      </c>
      <c r="D180" s="704">
        <f t="shared" si="188"/>
        <v>9135626</v>
      </c>
      <c r="E180" s="705">
        <f t="shared" si="188"/>
        <v>8245223</v>
      </c>
      <c r="F180" s="705">
        <f t="shared" si="188"/>
        <v>890403</v>
      </c>
      <c r="G180" s="706">
        <f t="shared" si="188"/>
        <v>0</v>
      </c>
      <c r="H180" s="707">
        <f t="shared" si="188"/>
        <v>0</v>
      </c>
      <c r="I180" s="704">
        <f t="shared" si="188"/>
        <v>9135626</v>
      </c>
      <c r="J180" s="705">
        <f t="shared" si="188"/>
        <v>8245223</v>
      </c>
      <c r="K180" s="705">
        <f>+K181</f>
        <v>890403</v>
      </c>
      <c r="L180" s="706">
        <f t="shared" si="188"/>
        <v>0</v>
      </c>
      <c r="M180" s="707">
        <f t="shared" si="188"/>
        <v>0</v>
      </c>
      <c r="N180" s="704">
        <f>+N181</f>
        <v>9135626</v>
      </c>
      <c r="O180" s="708">
        <f t="shared" si="159"/>
        <v>100</v>
      </c>
      <c r="P180" s="706">
        <f>+P181</f>
        <v>0</v>
      </c>
      <c r="Q180" s="706">
        <v>0</v>
      </c>
      <c r="R180" s="705">
        <f t="shared" si="155"/>
        <v>0</v>
      </c>
      <c r="S180" s="2816"/>
      <c r="T180" s="537"/>
    </row>
    <row r="181" spans="1:20" ht="13.5" customHeight="1" thickBot="1" x14ac:dyDescent="0.25">
      <c r="A181" s="2812"/>
      <c r="B181" s="717" t="s">
        <v>15</v>
      </c>
      <c r="C181" s="2818"/>
      <c r="D181" s="718">
        <f>++E181+F181+G181+H181</f>
        <v>9135626</v>
      </c>
      <c r="E181" s="720">
        <v>8245223</v>
      </c>
      <c r="F181" s="720">
        <v>890403</v>
      </c>
      <c r="G181" s="719">
        <v>0</v>
      </c>
      <c r="H181" s="850">
        <v>0</v>
      </c>
      <c r="I181" s="718">
        <f>++J181+K181+L181+M181</f>
        <v>9135626</v>
      </c>
      <c r="J181" s="720">
        <v>8245223</v>
      </c>
      <c r="K181" s="720">
        <v>890403</v>
      </c>
      <c r="L181" s="719">
        <v>0</v>
      </c>
      <c r="M181" s="850">
        <v>0</v>
      </c>
      <c r="N181" s="722">
        <f>J181+K181+P181</f>
        <v>9135626</v>
      </c>
      <c r="O181" s="723">
        <f t="shared" si="159"/>
        <v>100</v>
      </c>
      <c r="P181" s="719">
        <v>0</v>
      </c>
      <c r="Q181" s="719">
        <v>0</v>
      </c>
      <c r="R181" s="720">
        <f t="shared" si="155"/>
        <v>0</v>
      </c>
      <c r="S181" s="2818"/>
      <c r="T181" s="537"/>
    </row>
    <row r="182" spans="1:20" ht="30" customHeight="1" x14ac:dyDescent="0.2">
      <c r="A182" s="2809" t="s">
        <v>60</v>
      </c>
      <c r="B182" s="746" t="s">
        <v>63</v>
      </c>
      <c r="C182" s="676" t="s">
        <v>225</v>
      </c>
      <c r="D182" s="680"/>
      <c r="E182" s="678"/>
      <c r="F182" s="678"/>
      <c r="G182" s="678"/>
      <c r="H182" s="679"/>
      <c r="I182" s="680"/>
      <c r="J182" s="678"/>
      <c r="K182" s="678"/>
      <c r="L182" s="678"/>
      <c r="M182" s="679"/>
      <c r="N182" s="680"/>
      <c r="O182" s="681"/>
      <c r="P182" s="678"/>
      <c r="Q182" s="681"/>
      <c r="R182" s="678"/>
      <c r="S182" s="2823" t="s">
        <v>45</v>
      </c>
      <c r="T182" s="537"/>
    </row>
    <row r="183" spans="1:20" ht="13.5" customHeight="1" x14ac:dyDescent="0.2">
      <c r="A183" s="2810"/>
      <c r="B183" s="565" t="s">
        <v>3</v>
      </c>
      <c r="C183" s="566"/>
      <c r="D183" s="817">
        <f t="shared" ref="D183:H183" si="189">+D184+D186</f>
        <v>13579887</v>
      </c>
      <c r="E183" s="815">
        <f t="shared" si="189"/>
        <v>13560771</v>
      </c>
      <c r="F183" s="815">
        <f t="shared" si="189"/>
        <v>19116</v>
      </c>
      <c r="G183" s="851">
        <f t="shared" si="189"/>
        <v>0</v>
      </c>
      <c r="H183" s="852">
        <f t="shared" si="189"/>
        <v>0</v>
      </c>
      <c r="I183" s="817">
        <f t="shared" ref="I183:N183" si="190">+I184+I186</f>
        <v>13579887</v>
      </c>
      <c r="J183" s="815">
        <f t="shared" si="190"/>
        <v>13560771</v>
      </c>
      <c r="K183" s="815">
        <f>+K184+K186</f>
        <v>19116</v>
      </c>
      <c r="L183" s="851">
        <f t="shared" si="190"/>
        <v>0</v>
      </c>
      <c r="M183" s="852">
        <f t="shared" si="190"/>
        <v>0</v>
      </c>
      <c r="N183" s="817">
        <f t="shared" si="190"/>
        <v>13579887</v>
      </c>
      <c r="O183" s="818">
        <f t="shared" si="159"/>
        <v>100</v>
      </c>
      <c r="P183" s="851">
        <f>+P184+P186</f>
        <v>0</v>
      </c>
      <c r="Q183" s="851">
        <v>0</v>
      </c>
      <c r="R183" s="815">
        <f t="shared" si="155"/>
        <v>0</v>
      </c>
      <c r="S183" s="2824"/>
      <c r="T183" s="537"/>
    </row>
    <row r="184" spans="1:20" ht="13.5" customHeight="1" x14ac:dyDescent="0.2">
      <c r="A184" s="2810"/>
      <c r="B184" s="819" t="s">
        <v>18</v>
      </c>
      <c r="C184" s="2771" t="s">
        <v>46</v>
      </c>
      <c r="D184" s="820">
        <f t="shared" ref="D184:N184" si="191">+D185</f>
        <v>3676676</v>
      </c>
      <c r="E184" s="821">
        <f t="shared" si="191"/>
        <v>3657560</v>
      </c>
      <c r="F184" s="821">
        <f t="shared" si="191"/>
        <v>19116</v>
      </c>
      <c r="G184" s="853">
        <f t="shared" si="191"/>
        <v>0</v>
      </c>
      <c r="H184" s="854">
        <f t="shared" si="191"/>
        <v>0</v>
      </c>
      <c r="I184" s="820">
        <f t="shared" si="191"/>
        <v>3676676</v>
      </c>
      <c r="J184" s="821">
        <f t="shared" si="191"/>
        <v>3657560</v>
      </c>
      <c r="K184" s="821">
        <f>+K185</f>
        <v>19116</v>
      </c>
      <c r="L184" s="853">
        <f t="shared" si="191"/>
        <v>0</v>
      </c>
      <c r="M184" s="854">
        <f t="shared" si="191"/>
        <v>0</v>
      </c>
      <c r="N184" s="820">
        <f t="shared" si="191"/>
        <v>3676676</v>
      </c>
      <c r="O184" s="823">
        <f t="shared" si="159"/>
        <v>100</v>
      </c>
      <c r="P184" s="853">
        <f>+P185</f>
        <v>0</v>
      </c>
      <c r="Q184" s="853">
        <v>0</v>
      </c>
      <c r="R184" s="821">
        <f t="shared" si="155"/>
        <v>0</v>
      </c>
      <c r="S184" s="2824"/>
      <c r="T184" s="537"/>
    </row>
    <row r="185" spans="1:20" ht="13.5" customHeight="1" x14ac:dyDescent="0.2">
      <c r="A185" s="2810"/>
      <c r="B185" s="696" t="s">
        <v>5</v>
      </c>
      <c r="C185" s="2816"/>
      <c r="D185" s="697">
        <f>+E185+F185+G185+H185</f>
        <v>3676676</v>
      </c>
      <c r="E185" s="699">
        <f>609487+1870916+1177157</f>
        <v>3657560</v>
      </c>
      <c r="F185" s="699">
        <v>19116</v>
      </c>
      <c r="G185" s="698">
        <v>0</v>
      </c>
      <c r="H185" s="700">
        <v>0</v>
      </c>
      <c r="I185" s="697">
        <f>+J185+K185+L185+M185</f>
        <v>3676676</v>
      </c>
      <c r="J185" s="699">
        <f>609487+1870916+1177157</f>
        <v>3657560</v>
      </c>
      <c r="K185" s="699">
        <v>19116</v>
      </c>
      <c r="L185" s="698">
        <v>0</v>
      </c>
      <c r="M185" s="700">
        <v>0</v>
      </c>
      <c r="N185" s="701">
        <f>J185+K185+P185</f>
        <v>3676676</v>
      </c>
      <c r="O185" s="702">
        <f t="shared" si="159"/>
        <v>100</v>
      </c>
      <c r="P185" s="735">
        <v>0</v>
      </c>
      <c r="Q185" s="698">
        <v>0</v>
      </c>
      <c r="R185" s="699">
        <f t="shared" si="155"/>
        <v>0</v>
      </c>
      <c r="S185" s="2824"/>
      <c r="T185" s="537"/>
    </row>
    <row r="186" spans="1:20" ht="13.5" customHeight="1" x14ac:dyDescent="0.2">
      <c r="A186" s="2810"/>
      <c r="B186" s="703" t="s">
        <v>13</v>
      </c>
      <c r="C186" s="2816"/>
      <c r="D186" s="704">
        <f t="shared" ref="D186:N186" si="192">+D187</f>
        <v>9903211</v>
      </c>
      <c r="E186" s="705">
        <f t="shared" si="192"/>
        <v>9903211</v>
      </c>
      <c r="F186" s="706">
        <f t="shared" si="192"/>
        <v>0</v>
      </c>
      <c r="G186" s="706">
        <f t="shared" si="192"/>
        <v>0</v>
      </c>
      <c r="H186" s="707">
        <f t="shared" si="192"/>
        <v>0</v>
      </c>
      <c r="I186" s="704">
        <f t="shared" si="192"/>
        <v>9903211</v>
      </c>
      <c r="J186" s="705">
        <f t="shared" si="192"/>
        <v>9903211</v>
      </c>
      <c r="K186" s="706">
        <f>+K187</f>
        <v>0</v>
      </c>
      <c r="L186" s="706">
        <f t="shared" si="192"/>
        <v>0</v>
      </c>
      <c r="M186" s="707">
        <f t="shared" si="192"/>
        <v>0</v>
      </c>
      <c r="N186" s="704">
        <f t="shared" si="192"/>
        <v>9903211</v>
      </c>
      <c r="O186" s="708">
        <f t="shared" si="159"/>
        <v>100</v>
      </c>
      <c r="P186" s="706">
        <f>+P187</f>
        <v>0</v>
      </c>
      <c r="Q186" s="706">
        <v>0</v>
      </c>
      <c r="R186" s="705">
        <f t="shared" si="155"/>
        <v>0</v>
      </c>
      <c r="S186" s="2824"/>
      <c r="T186" s="537"/>
    </row>
    <row r="187" spans="1:20" ht="11.25" customHeight="1" x14ac:dyDescent="0.2">
      <c r="A187" s="2810"/>
      <c r="B187" s="696" t="s">
        <v>15</v>
      </c>
      <c r="C187" s="2816"/>
      <c r="D187" s="697">
        <f>+E187+F187+G187</f>
        <v>9903211</v>
      </c>
      <c r="E187" s="699">
        <f>1828462+5568896+2505853</f>
        <v>9903211</v>
      </c>
      <c r="F187" s="698">
        <v>0</v>
      </c>
      <c r="G187" s="698">
        <v>0</v>
      </c>
      <c r="H187" s="700">
        <v>0</v>
      </c>
      <c r="I187" s="697">
        <f>+J187+K187+L187</f>
        <v>9903211</v>
      </c>
      <c r="J187" s="699">
        <f>1828462+5568896+2505853</f>
        <v>9903211</v>
      </c>
      <c r="K187" s="698">
        <v>0</v>
      </c>
      <c r="L187" s="698">
        <v>0</v>
      </c>
      <c r="M187" s="700">
        <v>0</v>
      </c>
      <c r="N187" s="701">
        <f>J187+K187+P187</f>
        <v>9903211</v>
      </c>
      <c r="O187" s="702">
        <f t="shared" si="159"/>
        <v>100</v>
      </c>
      <c r="P187" s="698">
        <v>0</v>
      </c>
      <c r="Q187" s="698">
        <v>0</v>
      </c>
      <c r="R187" s="699">
        <f t="shared" si="155"/>
        <v>0</v>
      </c>
      <c r="S187" s="2824"/>
      <c r="T187" s="537"/>
    </row>
    <row r="188" spans="1:20" ht="13.5" customHeight="1" x14ac:dyDescent="0.2">
      <c r="A188" s="2811"/>
      <c r="B188" s="565" t="s">
        <v>17</v>
      </c>
      <c r="C188" s="566"/>
      <c r="D188" s="826">
        <f>+D189</f>
        <v>9903211</v>
      </c>
      <c r="E188" s="492">
        <f>+E189</f>
        <v>8572597</v>
      </c>
      <c r="F188" s="828">
        <f t="shared" ref="F188:H189" si="193">+F189</f>
        <v>1330614</v>
      </c>
      <c r="G188" s="827">
        <f t="shared" si="193"/>
        <v>0</v>
      </c>
      <c r="H188" s="843">
        <f t="shared" si="193"/>
        <v>0</v>
      </c>
      <c r="I188" s="826">
        <f>+I189</f>
        <v>9903211</v>
      </c>
      <c r="J188" s="828">
        <f>+J189</f>
        <v>8572597</v>
      </c>
      <c r="K188" s="828">
        <f>+K189</f>
        <v>1330614</v>
      </c>
      <c r="L188" s="827">
        <f t="shared" ref="L188:M189" si="194">+L189</f>
        <v>0</v>
      </c>
      <c r="M188" s="843">
        <f t="shared" si="194"/>
        <v>0</v>
      </c>
      <c r="N188" s="826">
        <f>+N189</f>
        <v>9903211</v>
      </c>
      <c r="O188" s="830">
        <f t="shared" si="159"/>
        <v>100</v>
      </c>
      <c r="P188" s="827">
        <f>+P189</f>
        <v>0</v>
      </c>
      <c r="Q188" s="827">
        <v>0</v>
      </c>
      <c r="R188" s="828">
        <f t="shared" si="155"/>
        <v>0</v>
      </c>
      <c r="S188" s="2816"/>
      <c r="T188" s="537"/>
    </row>
    <row r="189" spans="1:20" ht="12" customHeight="1" x14ac:dyDescent="0.2">
      <c r="A189" s="2811"/>
      <c r="B189" s="703" t="s">
        <v>13</v>
      </c>
      <c r="C189" s="2771" t="s">
        <v>42</v>
      </c>
      <c r="D189" s="704">
        <f>+D190</f>
        <v>9903211</v>
      </c>
      <c r="E189" s="705">
        <f t="shared" ref="E189:J189" si="195">+E190</f>
        <v>8572597</v>
      </c>
      <c r="F189" s="705">
        <f t="shared" si="193"/>
        <v>1330614</v>
      </c>
      <c r="G189" s="706">
        <f t="shared" si="193"/>
        <v>0</v>
      </c>
      <c r="H189" s="707">
        <f t="shared" si="193"/>
        <v>0</v>
      </c>
      <c r="I189" s="704">
        <f>+I190</f>
        <v>9903211</v>
      </c>
      <c r="J189" s="705">
        <f t="shared" si="195"/>
        <v>8572597</v>
      </c>
      <c r="K189" s="705">
        <f>+K190</f>
        <v>1330614</v>
      </c>
      <c r="L189" s="706">
        <f t="shared" si="194"/>
        <v>0</v>
      </c>
      <c r="M189" s="707">
        <f t="shared" si="194"/>
        <v>0</v>
      </c>
      <c r="N189" s="704">
        <f>+N190</f>
        <v>9903211</v>
      </c>
      <c r="O189" s="708">
        <f t="shared" si="159"/>
        <v>100</v>
      </c>
      <c r="P189" s="706">
        <f>+P190</f>
        <v>0</v>
      </c>
      <c r="Q189" s="706">
        <v>0</v>
      </c>
      <c r="R189" s="705">
        <f t="shared" si="155"/>
        <v>0</v>
      </c>
      <c r="S189" s="2816"/>
      <c r="T189" s="537"/>
    </row>
    <row r="190" spans="1:20" ht="13.5" customHeight="1" thickBot="1" x14ac:dyDescent="0.25">
      <c r="A190" s="2812"/>
      <c r="B190" s="717" t="s">
        <v>15</v>
      </c>
      <c r="C190" s="2818"/>
      <c r="D190" s="718">
        <f>+E190+F190+G190+H190</f>
        <v>9903211</v>
      </c>
      <c r="E190" s="720">
        <f>6247095+2325502</f>
        <v>8572597</v>
      </c>
      <c r="F190" s="720">
        <v>1330614</v>
      </c>
      <c r="G190" s="719">
        <v>0</v>
      </c>
      <c r="H190" s="850">
        <v>0</v>
      </c>
      <c r="I190" s="718">
        <f>+J190+K190+L190+M190</f>
        <v>9903211</v>
      </c>
      <c r="J190" s="720">
        <f>6247095+2325502</f>
        <v>8572597</v>
      </c>
      <c r="K190" s="720">
        <v>1330614</v>
      </c>
      <c r="L190" s="719">
        <v>0</v>
      </c>
      <c r="M190" s="850">
        <v>0</v>
      </c>
      <c r="N190" s="722">
        <f>J190+K190+P190</f>
        <v>9903211</v>
      </c>
      <c r="O190" s="723">
        <f t="shared" si="159"/>
        <v>100</v>
      </c>
      <c r="P190" s="719">
        <v>0</v>
      </c>
      <c r="Q190" s="719">
        <v>0</v>
      </c>
      <c r="R190" s="720">
        <f t="shared" si="155"/>
        <v>0</v>
      </c>
      <c r="S190" s="2818"/>
      <c r="T190" s="537"/>
    </row>
    <row r="191" spans="1:20" ht="27" customHeight="1" x14ac:dyDescent="0.2">
      <c r="A191" s="2809" t="s">
        <v>62</v>
      </c>
      <c r="B191" s="746" t="s">
        <v>333</v>
      </c>
      <c r="C191" s="676" t="s">
        <v>225</v>
      </c>
      <c r="D191" s="862"/>
      <c r="E191" s="863"/>
      <c r="F191" s="863"/>
      <c r="G191" s="863"/>
      <c r="H191" s="864"/>
      <c r="I191" s="862"/>
      <c r="J191" s="863"/>
      <c r="K191" s="863"/>
      <c r="L191" s="863"/>
      <c r="M191" s="864"/>
      <c r="N191" s="862"/>
      <c r="O191" s="865"/>
      <c r="P191" s="863"/>
      <c r="Q191" s="865"/>
      <c r="R191" s="863"/>
      <c r="S191" s="2823" t="s">
        <v>45</v>
      </c>
      <c r="T191" s="537"/>
    </row>
    <row r="192" spans="1:20" x14ac:dyDescent="0.2">
      <c r="A192" s="2810"/>
      <c r="B192" s="683" t="s">
        <v>3</v>
      </c>
      <c r="C192" s="684"/>
      <c r="D192" s="711">
        <f t="shared" ref="D192:H192" si="196">+D193+D196</f>
        <v>25863067</v>
      </c>
      <c r="E192" s="686">
        <f t="shared" si="196"/>
        <v>25815047</v>
      </c>
      <c r="F192" s="686">
        <f t="shared" si="196"/>
        <v>8020</v>
      </c>
      <c r="G192" s="686">
        <f t="shared" si="196"/>
        <v>40000</v>
      </c>
      <c r="H192" s="687">
        <f t="shared" si="196"/>
        <v>0</v>
      </c>
      <c r="I192" s="711">
        <f t="shared" ref="I192:N192" si="197">+I193+I196</f>
        <v>25863067.210000001</v>
      </c>
      <c r="J192" s="686">
        <f t="shared" si="197"/>
        <v>25815047</v>
      </c>
      <c r="K192" s="686">
        <f>+K193+K196</f>
        <v>8020.21</v>
      </c>
      <c r="L192" s="686">
        <f t="shared" si="197"/>
        <v>40000</v>
      </c>
      <c r="M192" s="687">
        <f t="shared" si="197"/>
        <v>0</v>
      </c>
      <c r="N192" s="711">
        <f t="shared" si="197"/>
        <v>25823067.210000001</v>
      </c>
      <c r="O192" s="712">
        <f t="shared" si="159"/>
        <v>99.845340113761452</v>
      </c>
      <c r="P192" s="686">
        <f>+P193+P196</f>
        <v>0</v>
      </c>
      <c r="Q192" s="712">
        <f t="shared" si="160"/>
        <v>0</v>
      </c>
      <c r="R192" s="686">
        <f t="shared" si="155"/>
        <v>-40000</v>
      </c>
      <c r="S192" s="2824"/>
      <c r="T192" s="537"/>
    </row>
    <row r="193" spans="1:20" ht="13.5" customHeight="1" x14ac:dyDescent="0.2">
      <c r="A193" s="2810"/>
      <c r="B193" s="689" t="s">
        <v>18</v>
      </c>
      <c r="C193" s="2815" t="s">
        <v>46</v>
      </c>
      <c r="D193" s="693">
        <f t="shared" ref="D193:H193" si="198">+D194+D195</f>
        <v>11223477</v>
      </c>
      <c r="E193" s="695">
        <f t="shared" si="198"/>
        <v>11175457</v>
      </c>
      <c r="F193" s="695">
        <f t="shared" si="198"/>
        <v>8020</v>
      </c>
      <c r="G193" s="695">
        <f t="shared" si="198"/>
        <v>40000</v>
      </c>
      <c r="H193" s="744">
        <f t="shared" si="198"/>
        <v>0</v>
      </c>
      <c r="I193" s="693">
        <f t="shared" ref="I193:N193" si="199">+I194+I195</f>
        <v>11223477.210000001</v>
      </c>
      <c r="J193" s="695">
        <f t="shared" si="199"/>
        <v>11175457</v>
      </c>
      <c r="K193" s="695">
        <f>+K194+K195</f>
        <v>8020.21</v>
      </c>
      <c r="L193" s="695">
        <f t="shared" si="199"/>
        <v>40000</v>
      </c>
      <c r="M193" s="745">
        <f t="shared" si="199"/>
        <v>0</v>
      </c>
      <c r="N193" s="693">
        <f t="shared" si="199"/>
        <v>11183477.210000001</v>
      </c>
      <c r="O193" s="694">
        <f t="shared" si="159"/>
        <v>99.643606076797781</v>
      </c>
      <c r="P193" s="695">
        <f>+P194+P195</f>
        <v>0</v>
      </c>
      <c r="Q193" s="694">
        <f t="shared" si="160"/>
        <v>0</v>
      </c>
      <c r="R193" s="695">
        <f t="shared" si="155"/>
        <v>-40000</v>
      </c>
      <c r="S193" s="2824"/>
      <c r="T193" s="537"/>
    </row>
    <row r="194" spans="1:20" ht="12.75" customHeight="1" x14ac:dyDescent="0.2">
      <c r="A194" s="2810"/>
      <c r="B194" s="696" t="s">
        <v>5</v>
      </c>
      <c r="C194" s="2816"/>
      <c r="D194" s="697">
        <f>+E194+F194+G194+H194</f>
        <v>6256096</v>
      </c>
      <c r="E194" s="699">
        <f>56178+2975893+3176005</f>
        <v>6208076</v>
      </c>
      <c r="F194" s="733">
        <v>8020</v>
      </c>
      <c r="G194" s="733">
        <v>40000</v>
      </c>
      <c r="H194" s="735">
        <v>0</v>
      </c>
      <c r="I194" s="697">
        <f>+J194+K194+L194+M194</f>
        <v>6256096.21</v>
      </c>
      <c r="J194" s="699">
        <f>56178+2975893+3176005</f>
        <v>6208076</v>
      </c>
      <c r="K194" s="733">
        <v>8020.21</v>
      </c>
      <c r="L194" s="733">
        <v>40000</v>
      </c>
      <c r="M194" s="736">
        <v>0</v>
      </c>
      <c r="N194" s="762">
        <f>J194+K194+P194</f>
        <v>6216096.21</v>
      </c>
      <c r="O194" s="734">
        <f t="shared" si="159"/>
        <v>99.360626978869888</v>
      </c>
      <c r="P194" s="733">
        <v>0</v>
      </c>
      <c r="Q194" s="734">
        <f t="shared" si="160"/>
        <v>0</v>
      </c>
      <c r="R194" s="733">
        <f t="shared" si="155"/>
        <v>-40000</v>
      </c>
      <c r="S194" s="2824"/>
      <c r="T194" s="537"/>
    </row>
    <row r="195" spans="1:20" ht="13.5" customHeight="1" x14ac:dyDescent="0.2">
      <c r="A195" s="2810"/>
      <c r="B195" s="855" t="s">
        <v>10</v>
      </c>
      <c r="C195" s="2816"/>
      <c r="D195" s="697">
        <f>++E195+F195+G195</f>
        <v>4967381</v>
      </c>
      <c r="E195" s="699">
        <f>3643961+1323420</f>
        <v>4967381</v>
      </c>
      <c r="F195" s="735">
        <v>0</v>
      </c>
      <c r="G195" s="735">
        <v>0</v>
      </c>
      <c r="H195" s="736">
        <v>0</v>
      </c>
      <c r="I195" s="697">
        <f>++J195+K195+L195</f>
        <v>4967381</v>
      </c>
      <c r="J195" s="699">
        <f>3643961+1323420</f>
        <v>4967381</v>
      </c>
      <c r="K195" s="735">
        <v>0</v>
      </c>
      <c r="L195" s="735">
        <v>0</v>
      </c>
      <c r="M195" s="736">
        <v>0</v>
      </c>
      <c r="N195" s="762">
        <f>J195+K195+P195</f>
        <v>4967381</v>
      </c>
      <c r="O195" s="734">
        <f t="shared" si="159"/>
        <v>100</v>
      </c>
      <c r="P195" s="698">
        <v>0</v>
      </c>
      <c r="Q195" s="735">
        <v>0</v>
      </c>
      <c r="R195" s="733">
        <f t="shared" si="155"/>
        <v>0</v>
      </c>
      <c r="S195" s="2824"/>
      <c r="T195" s="537"/>
    </row>
    <row r="196" spans="1:20" ht="13.5" customHeight="1" x14ac:dyDescent="0.2">
      <c r="A196" s="2810"/>
      <c r="B196" s="703" t="s">
        <v>13</v>
      </c>
      <c r="C196" s="2816"/>
      <c r="D196" s="704">
        <f t="shared" ref="D196:N196" si="200">+D197</f>
        <v>14639590</v>
      </c>
      <c r="E196" s="705">
        <f t="shared" si="200"/>
        <v>14639590</v>
      </c>
      <c r="F196" s="706">
        <f t="shared" si="200"/>
        <v>0</v>
      </c>
      <c r="G196" s="706">
        <f t="shared" si="200"/>
        <v>0</v>
      </c>
      <c r="H196" s="707">
        <f t="shared" si="200"/>
        <v>0</v>
      </c>
      <c r="I196" s="704">
        <f t="shared" si="200"/>
        <v>14639590</v>
      </c>
      <c r="J196" s="705">
        <f t="shared" si="200"/>
        <v>14639590</v>
      </c>
      <c r="K196" s="706">
        <f>+K197</f>
        <v>0</v>
      </c>
      <c r="L196" s="706">
        <f t="shared" si="200"/>
        <v>0</v>
      </c>
      <c r="M196" s="707">
        <f t="shared" si="200"/>
        <v>0</v>
      </c>
      <c r="N196" s="704">
        <f t="shared" si="200"/>
        <v>14639590</v>
      </c>
      <c r="O196" s="708">
        <f t="shared" si="159"/>
        <v>100</v>
      </c>
      <c r="P196" s="706">
        <f>+P197</f>
        <v>0</v>
      </c>
      <c r="Q196" s="706">
        <v>0</v>
      </c>
      <c r="R196" s="705">
        <f t="shared" si="155"/>
        <v>0</v>
      </c>
      <c r="S196" s="2824"/>
      <c r="T196" s="537"/>
    </row>
    <row r="197" spans="1:20" ht="13.5" customHeight="1" x14ac:dyDescent="0.2">
      <c r="A197" s="2810"/>
      <c r="B197" s="696" t="s">
        <v>15</v>
      </c>
      <c r="C197" s="2816"/>
      <c r="D197" s="697">
        <f>+E197+F197+G197</f>
        <v>14639590</v>
      </c>
      <c r="E197" s="699">
        <f>5078+8549311+6085201</f>
        <v>14639590</v>
      </c>
      <c r="F197" s="735">
        <v>0</v>
      </c>
      <c r="G197" s="735">
        <v>0</v>
      </c>
      <c r="H197" s="736">
        <v>0</v>
      </c>
      <c r="I197" s="697">
        <f>+J197+K197+L197</f>
        <v>14639590</v>
      </c>
      <c r="J197" s="699">
        <f>5078+8549311+6085201</f>
        <v>14639590</v>
      </c>
      <c r="K197" s="735">
        <v>0</v>
      </c>
      <c r="L197" s="735">
        <v>0</v>
      </c>
      <c r="M197" s="736">
        <v>0</v>
      </c>
      <c r="N197" s="762">
        <f>J197+K197+P197</f>
        <v>14639590</v>
      </c>
      <c r="O197" s="734">
        <f t="shared" si="159"/>
        <v>100</v>
      </c>
      <c r="P197" s="698">
        <v>0</v>
      </c>
      <c r="Q197" s="735">
        <v>0</v>
      </c>
      <c r="R197" s="733">
        <f t="shared" si="155"/>
        <v>0</v>
      </c>
      <c r="S197" s="2824"/>
      <c r="T197" s="537"/>
    </row>
    <row r="198" spans="1:20" x14ac:dyDescent="0.2">
      <c r="A198" s="2811"/>
      <c r="B198" s="683" t="s">
        <v>17</v>
      </c>
      <c r="C198" s="684"/>
      <c r="D198" s="711">
        <f t="shared" ref="D198:H198" si="201">+D199+D201</f>
        <v>19606971</v>
      </c>
      <c r="E198" s="686">
        <f t="shared" si="201"/>
        <v>17399572</v>
      </c>
      <c r="F198" s="686">
        <f t="shared" si="201"/>
        <v>2207399</v>
      </c>
      <c r="G198" s="738">
        <f t="shared" si="201"/>
        <v>0</v>
      </c>
      <c r="H198" s="687">
        <f t="shared" si="201"/>
        <v>0</v>
      </c>
      <c r="I198" s="711">
        <f t="shared" ref="I198:N198" si="202">+I199+I201</f>
        <v>19606971</v>
      </c>
      <c r="J198" s="686">
        <f t="shared" si="202"/>
        <v>17399572</v>
      </c>
      <c r="K198" s="686">
        <f>+K199+K201</f>
        <v>2207399</v>
      </c>
      <c r="L198" s="738">
        <f t="shared" si="202"/>
        <v>0</v>
      </c>
      <c r="M198" s="687">
        <f t="shared" si="202"/>
        <v>0</v>
      </c>
      <c r="N198" s="711">
        <f t="shared" si="202"/>
        <v>19606971</v>
      </c>
      <c r="O198" s="712">
        <f t="shared" si="159"/>
        <v>100</v>
      </c>
      <c r="P198" s="738">
        <f>+P199+P201</f>
        <v>0</v>
      </c>
      <c r="Q198" s="738">
        <v>0</v>
      </c>
      <c r="R198" s="686">
        <f t="shared" si="155"/>
        <v>0</v>
      </c>
      <c r="S198" s="2816"/>
      <c r="T198" s="537"/>
    </row>
    <row r="199" spans="1:20" ht="13.5" customHeight="1" x14ac:dyDescent="0.2">
      <c r="A199" s="2811"/>
      <c r="B199" s="689" t="s">
        <v>18</v>
      </c>
      <c r="C199" s="2831" t="s">
        <v>59</v>
      </c>
      <c r="D199" s="820">
        <f t="shared" ref="D199:H199" si="203">+D200</f>
        <v>4967381</v>
      </c>
      <c r="E199" s="821">
        <f t="shared" si="203"/>
        <v>4967381</v>
      </c>
      <c r="F199" s="853">
        <f t="shared" si="203"/>
        <v>0</v>
      </c>
      <c r="G199" s="853">
        <f t="shared" si="203"/>
        <v>0</v>
      </c>
      <c r="H199" s="854">
        <f t="shared" si="203"/>
        <v>0</v>
      </c>
      <c r="I199" s="820">
        <f t="shared" ref="I199:N199" si="204">+I200</f>
        <v>4967381</v>
      </c>
      <c r="J199" s="821">
        <f t="shared" si="204"/>
        <v>4967381</v>
      </c>
      <c r="K199" s="853">
        <f>+K200</f>
        <v>0</v>
      </c>
      <c r="L199" s="853">
        <f t="shared" si="204"/>
        <v>0</v>
      </c>
      <c r="M199" s="854">
        <f t="shared" si="204"/>
        <v>0</v>
      </c>
      <c r="N199" s="820">
        <f t="shared" si="204"/>
        <v>4967381</v>
      </c>
      <c r="O199" s="823">
        <f t="shared" si="159"/>
        <v>100</v>
      </c>
      <c r="P199" s="853">
        <f>+P200</f>
        <v>0</v>
      </c>
      <c r="Q199" s="853">
        <v>0</v>
      </c>
      <c r="R199" s="821">
        <f t="shared" ref="R199:R262" si="205">+P199-L199</f>
        <v>0</v>
      </c>
      <c r="S199" s="2816"/>
      <c r="T199" s="537"/>
    </row>
    <row r="200" spans="1:20" ht="12.75" customHeight="1" x14ac:dyDescent="0.2">
      <c r="A200" s="2811"/>
      <c r="B200" s="855" t="s">
        <v>10</v>
      </c>
      <c r="C200" s="2832"/>
      <c r="D200" s="697">
        <f>+E200+F200+G200</f>
        <v>4967381</v>
      </c>
      <c r="E200" s="800">
        <f>1336670+3643961-13250</f>
        <v>4967381</v>
      </c>
      <c r="F200" s="809">
        <v>0</v>
      </c>
      <c r="G200" s="809">
        <v>0</v>
      </c>
      <c r="H200" s="809">
        <v>0</v>
      </c>
      <c r="I200" s="697">
        <f>+J200+K200+L200</f>
        <v>4967381</v>
      </c>
      <c r="J200" s="800">
        <f>1336670+3643961-13250</f>
        <v>4967381</v>
      </c>
      <c r="K200" s="809">
        <v>0</v>
      </c>
      <c r="L200" s="809">
        <v>0</v>
      </c>
      <c r="M200" s="810">
        <v>0</v>
      </c>
      <c r="N200" s="762">
        <f>J200+K200+P200</f>
        <v>4967381</v>
      </c>
      <c r="O200" s="801">
        <f t="shared" si="159"/>
        <v>100</v>
      </c>
      <c r="P200" s="809">
        <v>0</v>
      </c>
      <c r="Q200" s="809">
        <v>0</v>
      </c>
      <c r="R200" s="733">
        <f t="shared" si="205"/>
        <v>0</v>
      </c>
      <c r="S200" s="2816"/>
      <c r="T200" s="537"/>
    </row>
    <row r="201" spans="1:20" ht="12" customHeight="1" x14ac:dyDescent="0.2">
      <c r="A201" s="2811"/>
      <c r="B201" s="703" t="s">
        <v>13</v>
      </c>
      <c r="C201" s="2832"/>
      <c r="D201" s="704">
        <f t="shared" ref="D201:H201" si="206">+D202</f>
        <v>14639590</v>
      </c>
      <c r="E201" s="705">
        <f t="shared" si="206"/>
        <v>12432191</v>
      </c>
      <c r="F201" s="705">
        <f t="shared" si="206"/>
        <v>2207399</v>
      </c>
      <c r="G201" s="706">
        <f t="shared" si="206"/>
        <v>0</v>
      </c>
      <c r="H201" s="707">
        <f t="shared" si="206"/>
        <v>0</v>
      </c>
      <c r="I201" s="704">
        <f t="shared" ref="I201:N201" si="207">+I202</f>
        <v>14639590</v>
      </c>
      <c r="J201" s="705">
        <f t="shared" si="207"/>
        <v>12432191</v>
      </c>
      <c r="K201" s="705">
        <f>+K202</f>
        <v>2207399</v>
      </c>
      <c r="L201" s="706">
        <f t="shared" si="207"/>
        <v>0</v>
      </c>
      <c r="M201" s="707">
        <f t="shared" si="207"/>
        <v>0</v>
      </c>
      <c r="N201" s="704">
        <f t="shared" si="207"/>
        <v>14639590</v>
      </c>
      <c r="O201" s="708">
        <f t="shared" si="159"/>
        <v>100</v>
      </c>
      <c r="P201" s="706">
        <f>+P202</f>
        <v>0</v>
      </c>
      <c r="Q201" s="706">
        <v>0</v>
      </c>
      <c r="R201" s="705">
        <f t="shared" si="205"/>
        <v>0</v>
      </c>
      <c r="S201" s="2816"/>
      <c r="T201" s="537"/>
    </row>
    <row r="202" spans="1:20" ht="13.5" customHeight="1" thickBot="1" x14ac:dyDescent="0.25">
      <c r="A202" s="2812"/>
      <c r="B202" s="717" t="s">
        <v>15</v>
      </c>
      <c r="C202" s="2833"/>
      <c r="D202" s="718">
        <f>+E202+F202+G202+H202</f>
        <v>14639590</v>
      </c>
      <c r="E202" s="720">
        <f>5451106+6981085</f>
        <v>12432191</v>
      </c>
      <c r="F202" s="720">
        <v>2207399</v>
      </c>
      <c r="G202" s="719">
        <v>0</v>
      </c>
      <c r="H202" s="850">
        <v>0</v>
      </c>
      <c r="I202" s="718">
        <f>+J202+K202+L202+M202</f>
        <v>14639590</v>
      </c>
      <c r="J202" s="720">
        <f>5451106+6981085</f>
        <v>12432191</v>
      </c>
      <c r="K202" s="720">
        <v>2207399</v>
      </c>
      <c r="L202" s="719">
        <v>0</v>
      </c>
      <c r="M202" s="850">
        <v>0</v>
      </c>
      <c r="N202" s="784">
        <f>J202+K202+P202</f>
        <v>14639590</v>
      </c>
      <c r="O202" s="723">
        <f t="shared" si="159"/>
        <v>100</v>
      </c>
      <c r="P202" s="719">
        <v>0</v>
      </c>
      <c r="Q202" s="719">
        <v>0</v>
      </c>
      <c r="R202" s="786">
        <f t="shared" si="205"/>
        <v>0</v>
      </c>
      <c r="S202" s="2818"/>
      <c r="T202" s="537"/>
    </row>
    <row r="203" spans="1:20" ht="28.5" customHeight="1" x14ac:dyDescent="0.2">
      <c r="A203" s="2809" t="s">
        <v>64</v>
      </c>
      <c r="B203" s="746" t="s">
        <v>334</v>
      </c>
      <c r="C203" s="676" t="s">
        <v>225</v>
      </c>
      <c r="D203" s="680"/>
      <c r="E203" s="678"/>
      <c r="F203" s="678"/>
      <c r="G203" s="678"/>
      <c r="H203" s="679"/>
      <c r="I203" s="680"/>
      <c r="J203" s="678"/>
      <c r="K203" s="678"/>
      <c r="L203" s="678"/>
      <c r="M203" s="679"/>
      <c r="N203" s="680"/>
      <c r="O203" s="681"/>
      <c r="P203" s="678"/>
      <c r="Q203" s="681"/>
      <c r="R203" s="678"/>
      <c r="S203" s="2823" t="s">
        <v>45</v>
      </c>
      <c r="T203" s="537"/>
    </row>
    <row r="204" spans="1:20" x14ac:dyDescent="0.2">
      <c r="A204" s="2810"/>
      <c r="B204" s="683" t="s">
        <v>3</v>
      </c>
      <c r="C204" s="684"/>
      <c r="D204" s="711">
        <f t="shared" ref="D204:H204" si="208">+D205+D208</f>
        <v>26202703</v>
      </c>
      <c r="E204" s="686">
        <f t="shared" si="208"/>
        <v>9358171</v>
      </c>
      <c r="F204" s="686">
        <f t="shared" si="208"/>
        <v>16514532</v>
      </c>
      <c r="G204" s="686">
        <f t="shared" si="208"/>
        <v>330000</v>
      </c>
      <c r="H204" s="687">
        <f t="shared" si="208"/>
        <v>0</v>
      </c>
      <c r="I204" s="711">
        <f t="shared" ref="I204:N204" si="209">+I205+I208</f>
        <v>26202702.780000001</v>
      </c>
      <c r="J204" s="686">
        <f t="shared" si="209"/>
        <v>9358171</v>
      </c>
      <c r="K204" s="686">
        <f>+K205+K208</f>
        <v>16514531.779999999</v>
      </c>
      <c r="L204" s="686">
        <f t="shared" si="209"/>
        <v>330000</v>
      </c>
      <c r="M204" s="687">
        <f t="shared" si="209"/>
        <v>0</v>
      </c>
      <c r="N204" s="711">
        <f t="shared" si="209"/>
        <v>25914712.780000001</v>
      </c>
      <c r="O204" s="712">
        <f t="shared" ref="O204:O267" si="210">N204/D204*100</f>
        <v>98.900914077452242</v>
      </c>
      <c r="P204" s="686">
        <f>+P205+P208</f>
        <v>42010</v>
      </c>
      <c r="Q204" s="712">
        <f t="shared" ref="Q204:Q267" si="211">P204/G204*100</f>
        <v>12.73030303030303</v>
      </c>
      <c r="R204" s="686">
        <f t="shared" si="205"/>
        <v>-287990</v>
      </c>
      <c r="S204" s="2824"/>
      <c r="T204" s="537"/>
    </row>
    <row r="205" spans="1:20" ht="13.5" customHeight="1" x14ac:dyDescent="0.2">
      <c r="A205" s="2810"/>
      <c r="B205" s="689" t="s">
        <v>18</v>
      </c>
      <c r="C205" s="2815" t="s">
        <v>46</v>
      </c>
      <c r="D205" s="730">
        <f t="shared" ref="D205:H205" si="212">+D206+D207</f>
        <v>7634045.75</v>
      </c>
      <c r="E205" s="731">
        <f t="shared" si="212"/>
        <v>3151974.75</v>
      </c>
      <c r="F205" s="731">
        <f t="shared" si="212"/>
        <v>4152071</v>
      </c>
      <c r="G205" s="731">
        <f t="shared" si="212"/>
        <v>330000</v>
      </c>
      <c r="H205" s="866">
        <f t="shared" si="212"/>
        <v>0</v>
      </c>
      <c r="I205" s="730">
        <f t="shared" ref="I205:N205" si="213">+I206+I207</f>
        <v>7634045.1899999995</v>
      </c>
      <c r="J205" s="731">
        <f t="shared" si="213"/>
        <v>3151974.75</v>
      </c>
      <c r="K205" s="731">
        <f>+K206+K207</f>
        <v>4152070.44</v>
      </c>
      <c r="L205" s="731">
        <f t="shared" si="213"/>
        <v>330000</v>
      </c>
      <c r="M205" s="867">
        <f t="shared" si="213"/>
        <v>0</v>
      </c>
      <c r="N205" s="730">
        <f t="shared" si="213"/>
        <v>7346055.1899999995</v>
      </c>
      <c r="O205" s="732">
        <f t="shared" si="210"/>
        <v>96.227549985536825</v>
      </c>
      <c r="P205" s="731">
        <f>+P206+P207</f>
        <v>42010</v>
      </c>
      <c r="Q205" s="732">
        <f t="shared" si="211"/>
        <v>12.73030303030303</v>
      </c>
      <c r="R205" s="731">
        <f t="shared" si="205"/>
        <v>-287990</v>
      </c>
      <c r="S205" s="2824"/>
      <c r="T205" s="537"/>
    </row>
    <row r="206" spans="1:20" ht="12.75" customHeight="1" x14ac:dyDescent="0.2">
      <c r="A206" s="2810"/>
      <c r="B206" s="696" t="s">
        <v>5</v>
      </c>
      <c r="C206" s="2816"/>
      <c r="D206" s="697">
        <f>+E206+F206+G206+H206</f>
        <v>6634045.75</v>
      </c>
      <c r="E206" s="699">
        <f>249994.75+284063+1617917</f>
        <v>2151974.75</v>
      </c>
      <c r="F206" s="699">
        <v>4152071</v>
      </c>
      <c r="G206" s="699">
        <v>330000</v>
      </c>
      <c r="H206" s="698">
        <v>0</v>
      </c>
      <c r="I206" s="697">
        <f>+J206+K206+L206+M206</f>
        <v>6634045.1899999995</v>
      </c>
      <c r="J206" s="699">
        <f>249994.75+284063+1617917</f>
        <v>2151974.75</v>
      </c>
      <c r="K206" s="699">
        <v>4152070.44</v>
      </c>
      <c r="L206" s="699">
        <v>330000</v>
      </c>
      <c r="M206" s="700">
        <v>0</v>
      </c>
      <c r="N206" s="762">
        <f>J206+K206+P206</f>
        <v>6346055.1899999995</v>
      </c>
      <c r="O206" s="702">
        <f t="shared" si="210"/>
        <v>95.658900000802674</v>
      </c>
      <c r="P206" s="699">
        <v>42010</v>
      </c>
      <c r="Q206" s="702">
        <f t="shared" si="211"/>
        <v>12.73030303030303</v>
      </c>
      <c r="R206" s="733">
        <f t="shared" si="205"/>
        <v>-287990</v>
      </c>
      <c r="S206" s="2824"/>
      <c r="T206" s="537"/>
    </row>
    <row r="207" spans="1:20" ht="11.25" customHeight="1" x14ac:dyDescent="0.2">
      <c r="A207" s="2810"/>
      <c r="B207" s="696" t="s">
        <v>66</v>
      </c>
      <c r="C207" s="2816"/>
      <c r="D207" s="697">
        <f>+E207+F207+G207</f>
        <v>1000000</v>
      </c>
      <c r="E207" s="699">
        <v>1000000</v>
      </c>
      <c r="F207" s="698">
        <v>0</v>
      </c>
      <c r="G207" s="698">
        <v>0</v>
      </c>
      <c r="H207" s="700">
        <v>0</v>
      </c>
      <c r="I207" s="697">
        <f>+J207+K207+L207</f>
        <v>1000000</v>
      </c>
      <c r="J207" s="699">
        <v>1000000</v>
      </c>
      <c r="K207" s="698">
        <v>0</v>
      </c>
      <c r="L207" s="698">
        <v>0</v>
      </c>
      <c r="M207" s="700">
        <v>0</v>
      </c>
      <c r="N207" s="762">
        <f>J207+K207+P207</f>
        <v>1000000</v>
      </c>
      <c r="O207" s="702">
        <f t="shared" si="210"/>
        <v>100</v>
      </c>
      <c r="P207" s="698">
        <v>0</v>
      </c>
      <c r="Q207" s="698">
        <v>0</v>
      </c>
      <c r="R207" s="733">
        <f t="shared" si="205"/>
        <v>0</v>
      </c>
      <c r="S207" s="2824"/>
      <c r="T207" s="537"/>
    </row>
    <row r="208" spans="1:20" ht="13.5" customHeight="1" x14ac:dyDescent="0.2">
      <c r="A208" s="2810"/>
      <c r="B208" s="703" t="s">
        <v>13</v>
      </c>
      <c r="C208" s="2816"/>
      <c r="D208" s="704">
        <f t="shared" ref="D208:N208" si="214">+D209</f>
        <v>18568657.25</v>
      </c>
      <c r="E208" s="705">
        <f t="shared" si="214"/>
        <v>6206196.25</v>
      </c>
      <c r="F208" s="705">
        <f t="shared" si="214"/>
        <v>12362461</v>
      </c>
      <c r="G208" s="706">
        <f t="shared" si="214"/>
        <v>0</v>
      </c>
      <c r="H208" s="707">
        <f t="shared" si="214"/>
        <v>0</v>
      </c>
      <c r="I208" s="704">
        <f t="shared" si="214"/>
        <v>18568657.59</v>
      </c>
      <c r="J208" s="705">
        <f t="shared" si="214"/>
        <v>6206196.25</v>
      </c>
      <c r="K208" s="705">
        <f>+K209</f>
        <v>12362461.34</v>
      </c>
      <c r="L208" s="706">
        <f t="shared" si="214"/>
        <v>0</v>
      </c>
      <c r="M208" s="707">
        <f t="shared" si="214"/>
        <v>0</v>
      </c>
      <c r="N208" s="704">
        <f t="shared" si="214"/>
        <v>18568657.59</v>
      </c>
      <c r="O208" s="708">
        <f t="shared" si="210"/>
        <v>100.00000183104247</v>
      </c>
      <c r="P208" s="706">
        <f>+P209</f>
        <v>0</v>
      </c>
      <c r="Q208" s="706">
        <v>0</v>
      </c>
      <c r="R208" s="705">
        <f t="shared" si="205"/>
        <v>0</v>
      </c>
      <c r="S208" s="2824"/>
      <c r="T208" s="537"/>
    </row>
    <row r="209" spans="1:20" ht="11.25" customHeight="1" x14ac:dyDescent="0.2">
      <c r="A209" s="2810"/>
      <c r="B209" s="696" t="s">
        <v>15</v>
      </c>
      <c r="C209" s="2816"/>
      <c r="D209" s="697">
        <f>+E209+F209+G209+H209</f>
        <v>18568657.25</v>
      </c>
      <c r="E209" s="699">
        <f>749983.25+824325+4631888</f>
        <v>6206196.25</v>
      </c>
      <c r="F209" s="699">
        <v>12362461</v>
      </c>
      <c r="G209" s="698">
        <v>0</v>
      </c>
      <c r="H209" s="807">
        <v>0</v>
      </c>
      <c r="I209" s="697">
        <f>+J209+K209+L209+M209</f>
        <v>18568657.59</v>
      </c>
      <c r="J209" s="699">
        <f>749983.25+824325+4631888</f>
        <v>6206196.25</v>
      </c>
      <c r="K209" s="699">
        <v>12362461.34</v>
      </c>
      <c r="L209" s="698">
        <v>0</v>
      </c>
      <c r="M209" s="807">
        <v>0</v>
      </c>
      <c r="N209" s="762">
        <f>J209+K209+P209</f>
        <v>18568657.59</v>
      </c>
      <c r="O209" s="702">
        <f t="shared" si="210"/>
        <v>100.00000183104247</v>
      </c>
      <c r="P209" s="698">
        <v>0</v>
      </c>
      <c r="Q209" s="698">
        <v>0</v>
      </c>
      <c r="R209" s="733">
        <f t="shared" si="205"/>
        <v>0</v>
      </c>
      <c r="S209" s="2824"/>
      <c r="T209" s="537"/>
    </row>
    <row r="210" spans="1:20" x14ac:dyDescent="0.2">
      <c r="A210" s="2811"/>
      <c r="B210" s="683" t="s">
        <v>17</v>
      </c>
      <c r="C210" s="684"/>
      <c r="D210" s="711">
        <f t="shared" ref="D210:H210" si="215">+D213+D211</f>
        <v>19568657</v>
      </c>
      <c r="E210" s="686">
        <f t="shared" si="215"/>
        <v>3294283</v>
      </c>
      <c r="F210" s="686">
        <f t="shared" si="215"/>
        <v>13243753</v>
      </c>
      <c r="G210" s="686">
        <f t="shared" si="215"/>
        <v>3030621</v>
      </c>
      <c r="H210" s="738">
        <f t="shared" si="215"/>
        <v>0</v>
      </c>
      <c r="I210" s="711">
        <f t="shared" ref="I210:N210" si="216">+I213+I211</f>
        <v>19568657</v>
      </c>
      <c r="J210" s="686">
        <f t="shared" ref="J210" si="217">+J213+J211</f>
        <v>3294283</v>
      </c>
      <c r="K210" s="686">
        <f>+K213+K211</f>
        <v>13243753</v>
      </c>
      <c r="L210" s="686">
        <f t="shared" si="216"/>
        <v>3030621</v>
      </c>
      <c r="M210" s="687">
        <f t="shared" si="216"/>
        <v>0</v>
      </c>
      <c r="N210" s="711">
        <f t="shared" si="216"/>
        <v>16538036</v>
      </c>
      <c r="O210" s="712">
        <f t="shared" si="210"/>
        <v>84.512882003092997</v>
      </c>
      <c r="P210" s="738">
        <f>+P213+P211</f>
        <v>0</v>
      </c>
      <c r="Q210" s="738">
        <f t="shared" si="211"/>
        <v>0</v>
      </c>
      <c r="R210" s="686">
        <f t="shared" si="205"/>
        <v>-3030621</v>
      </c>
      <c r="S210" s="2816"/>
      <c r="T210" s="537"/>
    </row>
    <row r="211" spans="1:20" ht="13.5" customHeight="1" x14ac:dyDescent="0.2">
      <c r="A211" s="2811"/>
      <c r="B211" s="492" t="s">
        <v>18</v>
      </c>
      <c r="C211" s="2831" t="s">
        <v>59</v>
      </c>
      <c r="D211" s="730">
        <f t="shared" ref="D211:N211" si="218">+D212</f>
        <v>1000000</v>
      </c>
      <c r="E211" s="731">
        <f t="shared" si="218"/>
        <v>1000000</v>
      </c>
      <c r="F211" s="866">
        <f t="shared" si="218"/>
        <v>0</v>
      </c>
      <c r="G211" s="866">
        <f t="shared" si="218"/>
        <v>0</v>
      </c>
      <c r="H211" s="867">
        <f t="shared" si="218"/>
        <v>0</v>
      </c>
      <c r="I211" s="730">
        <f t="shared" si="218"/>
        <v>1000000</v>
      </c>
      <c r="J211" s="731">
        <f t="shared" si="218"/>
        <v>1000000</v>
      </c>
      <c r="K211" s="866">
        <f>+K212</f>
        <v>0</v>
      </c>
      <c r="L211" s="866">
        <f t="shared" si="218"/>
        <v>0</v>
      </c>
      <c r="M211" s="867">
        <f t="shared" si="218"/>
        <v>0</v>
      </c>
      <c r="N211" s="730">
        <f t="shared" si="218"/>
        <v>1000000</v>
      </c>
      <c r="O211" s="732">
        <f t="shared" si="210"/>
        <v>100</v>
      </c>
      <c r="P211" s="866">
        <f>+P212</f>
        <v>0</v>
      </c>
      <c r="Q211" s="866">
        <v>0</v>
      </c>
      <c r="R211" s="731">
        <f t="shared" si="205"/>
        <v>0</v>
      </c>
      <c r="S211" s="2816"/>
      <c r="T211" s="537"/>
    </row>
    <row r="212" spans="1:20" ht="13.5" customHeight="1" x14ac:dyDescent="0.2">
      <c r="A212" s="2811"/>
      <c r="B212" s="696" t="s">
        <v>66</v>
      </c>
      <c r="C212" s="2832"/>
      <c r="D212" s="697">
        <f>+E212+F212+G212+H212</f>
        <v>1000000</v>
      </c>
      <c r="E212" s="699">
        <v>1000000</v>
      </c>
      <c r="F212" s="698">
        <v>0</v>
      </c>
      <c r="G212" s="698">
        <v>0</v>
      </c>
      <c r="H212" s="700">
        <v>0</v>
      </c>
      <c r="I212" s="697">
        <f>+J212+K212+L212+M212</f>
        <v>1000000</v>
      </c>
      <c r="J212" s="699">
        <v>1000000</v>
      </c>
      <c r="K212" s="698">
        <v>0</v>
      </c>
      <c r="L212" s="698">
        <v>0</v>
      </c>
      <c r="M212" s="700">
        <v>0</v>
      </c>
      <c r="N212" s="762">
        <f>J212+K212+P212</f>
        <v>1000000</v>
      </c>
      <c r="O212" s="734">
        <f t="shared" si="210"/>
        <v>100</v>
      </c>
      <c r="P212" s="698">
        <v>0</v>
      </c>
      <c r="Q212" s="735">
        <v>0</v>
      </c>
      <c r="R212" s="733">
        <f t="shared" si="205"/>
        <v>0</v>
      </c>
      <c r="S212" s="2816"/>
      <c r="T212" s="537"/>
    </row>
    <row r="213" spans="1:20" ht="12" customHeight="1" x14ac:dyDescent="0.2">
      <c r="A213" s="2811"/>
      <c r="B213" s="703" t="s">
        <v>13</v>
      </c>
      <c r="C213" s="2832"/>
      <c r="D213" s="704">
        <f t="shared" ref="D213:N213" si="219">+D214</f>
        <v>18568657</v>
      </c>
      <c r="E213" s="705">
        <f t="shared" si="219"/>
        <v>2294283</v>
      </c>
      <c r="F213" s="705">
        <f t="shared" si="219"/>
        <v>13243753</v>
      </c>
      <c r="G213" s="705">
        <f t="shared" si="219"/>
        <v>3030621</v>
      </c>
      <c r="H213" s="706">
        <f t="shared" si="219"/>
        <v>0</v>
      </c>
      <c r="I213" s="704">
        <f t="shared" si="219"/>
        <v>18568657</v>
      </c>
      <c r="J213" s="705">
        <f t="shared" si="219"/>
        <v>2294283</v>
      </c>
      <c r="K213" s="705">
        <f>+K214</f>
        <v>13243753</v>
      </c>
      <c r="L213" s="705">
        <f t="shared" si="219"/>
        <v>3030621</v>
      </c>
      <c r="M213" s="707">
        <f t="shared" si="219"/>
        <v>0</v>
      </c>
      <c r="N213" s="704">
        <f t="shared" si="219"/>
        <v>15538036</v>
      </c>
      <c r="O213" s="708">
        <f t="shared" si="210"/>
        <v>83.678835793024774</v>
      </c>
      <c r="P213" s="705">
        <f>+P214</f>
        <v>0</v>
      </c>
      <c r="Q213" s="708">
        <f t="shared" si="211"/>
        <v>0</v>
      </c>
      <c r="R213" s="705">
        <f t="shared" si="205"/>
        <v>-3030621</v>
      </c>
      <c r="S213" s="2816"/>
      <c r="T213" s="537"/>
    </row>
    <row r="214" spans="1:20" ht="13.5" customHeight="1" thickBot="1" x14ac:dyDescent="0.25">
      <c r="A214" s="2812"/>
      <c r="B214" s="717" t="s">
        <v>15</v>
      </c>
      <c r="C214" s="2833"/>
      <c r="D214" s="697">
        <f>+E214+F214+G214+H214</f>
        <v>18568657</v>
      </c>
      <c r="E214" s="720">
        <v>2294283</v>
      </c>
      <c r="F214" s="720">
        <v>13243753</v>
      </c>
      <c r="G214" s="720">
        <v>3030621</v>
      </c>
      <c r="H214" s="719">
        <v>0</v>
      </c>
      <c r="I214" s="697">
        <f>+J214+K214+L214+M214</f>
        <v>18568657</v>
      </c>
      <c r="J214" s="720">
        <v>2294283</v>
      </c>
      <c r="K214" s="720">
        <v>13243753</v>
      </c>
      <c r="L214" s="720">
        <v>3030621</v>
      </c>
      <c r="M214" s="761">
        <v>0</v>
      </c>
      <c r="N214" s="784">
        <f>J214+K214+P214</f>
        <v>15538036</v>
      </c>
      <c r="O214" s="723">
        <f t="shared" si="210"/>
        <v>83.678835793024774</v>
      </c>
      <c r="P214" s="720">
        <v>0</v>
      </c>
      <c r="Q214" s="723">
        <f t="shared" si="211"/>
        <v>0</v>
      </c>
      <c r="R214" s="786">
        <f t="shared" si="205"/>
        <v>-3030621</v>
      </c>
      <c r="S214" s="2818"/>
      <c r="T214" s="537"/>
    </row>
    <row r="215" spans="1:20" ht="28.5" customHeight="1" x14ac:dyDescent="0.2">
      <c r="A215" s="2809" t="s">
        <v>65</v>
      </c>
      <c r="B215" s="675" t="s">
        <v>68</v>
      </c>
      <c r="C215" s="676" t="s">
        <v>225</v>
      </c>
      <c r="D215" s="680"/>
      <c r="E215" s="678"/>
      <c r="F215" s="678"/>
      <c r="G215" s="678"/>
      <c r="H215" s="813"/>
      <c r="I215" s="680"/>
      <c r="J215" s="678"/>
      <c r="K215" s="678"/>
      <c r="L215" s="678"/>
      <c r="M215" s="679"/>
      <c r="N215" s="680"/>
      <c r="O215" s="681"/>
      <c r="P215" s="678"/>
      <c r="Q215" s="681"/>
      <c r="R215" s="678"/>
      <c r="S215" s="2823" t="s">
        <v>45</v>
      </c>
      <c r="T215" s="537"/>
    </row>
    <row r="216" spans="1:20" ht="12.75" customHeight="1" x14ac:dyDescent="0.2">
      <c r="A216" s="2810"/>
      <c r="B216" s="565" t="s">
        <v>3</v>
      </c>
      <c r="C216" s="566"/>
      <c r="D216" s="817">
        <f t="shared" ref="D216:H216" si="220">+D217+D219</f>
        <v>16000000</v>
      </c>
      <c r="E216" s="815">
        <f t="shared" si="220"/>
        <v>346651</v>
      </c>
      <c r="F216" s="815">
        <f t="shared" si="220"/>
        <v>4096693</v>
      </c>
      <c r="G216" s="815">
        <f t="shared" si="220"/>
        <v>11556656</v>
      </c>
      <c r="H216" s="852">
        <f t="shared" si="220"/>
        <v>0</v>
      </c>
      <c r="I216" s="817">
        <f t="shared" ref="I216:N216" si="221">+I217+I219</f>
        <v>16000000.460000001</v>
      </c>
      <c r="J216" s="815">
        <f t="shared" si="221"/>
        <v>346651</v>
      </c>
      <c r="K216" s="815">
        <f>+K217+K219</f>
        <v>4096693.46</v>
      </c>
      <c r="L216" s="815">
        <f t="shared" si="221"/>
        <v>11556656</v>
      </c>
      <c r="M216" s="816">
        <f t="shared" si="221"/>
        <v>0</v>
      </c>
      <c r="N216" s="817">
        <f t="shared" si="221"/>
        <v>4443344.46</v>
      </c>
      <c r="O216" s="818">
        <f t="shared" si="210"/>
        <v>27.770902874999997</v>
      </c>
      <c r="P216" s="815">
        <f>+P217+P219</f>
        <v>0</v>
      </c>
      <c r="Q216" s="818">
        <f t="shared" si="211"/>
        <v>0</v>
      </c>
      <c r="R216" s="815">
        <f t="shared" si="205"/>
        <v>-11556656</v>
      </c>
      <c r="S216" s="2824"/>
      <c r="T216" s="537"/>
    </row>
    <row r="217" spans="1:20" ht="12.75" customHeight="1" x14ac:dyDescent="0.2">
      <c r="A217" s="2810"/>
      <c r="B217" s="819" t="s">
        <v>18</v>
      </c>
      <c r="C217" s="2771" t="s">
        <v>46</v>
      </c>
      <c r="D217" s="868">
        <f t="shared" ref="D217:H217" si="222">+D218</f>
        <v>978000</v>
      </c>
      <c r="E217" s="869">
        <f t="shared" si="222"/>
        <v>0</v>
      </c>
      <c r="F217" s="869">
        <f t="shared" si="222"/>
        <v>683885</v>
      </c>
      <c r="G217" s="869">
        <f t="shared" si="222"/>
        <v>294115</v>
      </c>
      <c r="H217" s="870">
        <f t="shared" si="222"/>
        <v>0</v>
      </c>
      <c r="I217" s="868">
        <f t="shared" ref="I217:N217" si="223">+I218</f>
        <v>978000</v>
      </c>
      <c r="J217" s="869">
        <f t="shared" si="223"/>
        <v>0</v>
      </c>
      <c r="K217" s="869">
        <f>+K218</f>
        <v>683885</v>
      </c>
      <c r="L217" s="869">
        <f t="shared" si="223"/>
        <v>294115</v>
      </c>
      <c r="M217" s="871">
        <f t="shared" si="223"/>
        <v>0</v>
      </c>
      <c r="N217" s="868">
        <f t="shared" si="223"/>
        <v>683885</v>
      </c>
      <c r="O217" s="872">
        <f t="shared" si="210"/>
        <v>69.926891615541919</v>
      </c>
      <c r="P217" s="869">
        <f>+P218</f>
        <v>0</v>
      </c>
      <c r="Q217" s="872">
        <f t="shared" si="211"/>
        <v>0</v>
      </c>
      <c r="R217" s="869">
        <f t="shared" si="205"/>
        <v>-294115</v>
      </c>
      <c r="S217" s="2824"/>
      <c r="T217" s="537"/>
    </row>
    <row r="218" spans="1:20" ht="12.75" customHeight="1" x14ac:dyDescent="0.2">
      <c r="A218" s="2810"/>
      <c r="B218" s="696" t="s">
        <v>5</v>
      </c>
      <c r="C218" s="2816"/>
      <c r="D218" s="697">
        <f>++E218+F218+G218+H218</f>
        <v>978000</v>
      </c>
      <c r="E218" s="733">
        <v>0</v>
      </c>
      <c r="F218" s="733">
        <v>683885</v>
      </c>
      <c r="G218" s="733">
        <v>294115</v>
      </c>
      <c r="H218" s="873">
        <v>0</v>
      </c>
      <c r="I218" s="697">
        <f>++J218+K218+L218+M218</f>
        <v>978000</v>
      </c>
      <c r="J218" s="733">
        <v>0</v>
      </c>
      <c r="K218" s="733">
        <v>683885</v>
      </c>
      <c r="L218" s="733">
        <v>294115</v>
      </c>
      <c r="M218" s="874">
        <v>0</v>
      </c>
      <c r="N218" s="762">
        <f>J218+K218+P218</f>
        <v>683885</v>
      </c>
      <c r="O218" s="734">
        <f t="shared" si="210"/>
        <v>69.926891615541919</v>
      </c>
      <c r="P218" s="699">
        <v>0</v>
      </c>
      <c r="Q218" s="734">
        <f t="shared" si="211"/>
        <v>0</v>
      </c>
      <c r="R218" s="733">
        <f t="shared" si="205"/>
        <v>-294115</v>
      </c>
      <c r="S218" s="2824"/>
      <c r="T218" s="537"/>
    </row>
    <row r="219" spans="1:20" ht="12.75" customHeight="1" x14ac:dyDescent="0.2">
      <c r="A219" s="2810"/>
      <c r="B219" s="703" t="s">
        <v>13</v>
      </c>
      <c r="C219" s="2816"/>
      <c r="D219" s="704">
        <f t="shared" ref="D219:H219" si="224">+D220</f>
        <v>15022000</v>
      </c>
      <c r="E219" s="705">
        <f t="shared" si="224"/>
        <v>346651</v>
      </c>
      <c r="F219" s="705">
        <f t="shared" si="224"/>
        <v>3412808</v>
      </c>
      <c r="G219" s="705">
        <f t="shared" si="224"/>
        <v>11262541</v>
      </c>
      <c r="H219" s="707">
        <f t="shared" si="224"/>
        <v>0</v>
      </c>
      <c r="I219" s="704">
        <f t="shared" ref="I219:N219" si="225">+I220</f>
        <v>15022000.460000001</v>
      </c>
      <c r="J219" s="705">
        <f t="shared" si="225"/>
        <v>346651</v>
      </c>
      <c r="K219" s="705">
        <f>+K220</f>
        <v>3412808.46</v>
      </c>
      <c r="L219" s="705">
        <f t="shared" si="225"/>
        <v>11262541</v>
      </c>
      <c r="M219" s="825">
        <f t="shared" si="225"/>
        <v>0</v>
      </c>
      <c r="N219" s="704">
        <f t="shared" si="225"/>
        <v>3759459.46</v>
      </c>
      <c r="O219" s="708">
        <f t="shared" si="210"/>
        <v>25.026357741978433</v>
      </c>
      <c r="P219" s="705">
        <f>+P220</f>
        <v>0</v>
      </c>
      <c r="Q219" s="708">
        <f t="shared" si="211"/>
        <v>0</v>
      </c>
      <c r="R219" s="705">
        <f t="shared" si="205"/>
        <v>-11262541</v>
      </c>
      <c r="S219" s="2824"/>
      <c r="T219" s="537"/>
    </row>
    <row r="220" spans="1:20" ht="12.75" customHeight="1" x14ac:dyDescent="0.2">
      <c r="A220" s="2810"/>
      <c r="B220" s="696" t="s">
        <v>15</v>
      </c>
      <c r="C220" s="2816"/>
      <c r="D220" s="697">
        <f>+E220+F220+G220+H220</f>
        <v>15022000</v>
      </c>
      <c r="E220" s="733">
        <f>122000+224651</f>
        <v>346651</v>
      </c>
      <c r="F220" s="733">
        <v>3412808</v>
      </c>
      <c r="G220" s="733">
        <v>11262541</v>
      </c>
      <c r="H220" s="873">
        <v>0</v>
      </c>
      <c r="I220" s="697">
        <f>+J220+K220+L220+M220</f>
        <v>15022000.460000001</v>
      </c>
      <c r="J220" s="733">
        <f>122000+224651</f>
        <v>346651</v>
      </c>
      <c r="K220" s="733">
        <v>3412808.46</v>
      </c>
      <c r="L220" s="733">
        <v>11262541</v>
      </c>
      <c r="M220" s="874">
        <v>0</v>
      </c>
      <c r="N220" s="762">
        <f>J220+K220+P220</f>
        <v>3759459.46</v>
      </c>
      <c r="O220" s="734">
        <f t="shared" si="210"/>
        <v>25.026357741978433</v>
      </c>
      <c r="P220" s="699">
        <v>0</v>
      </c>
      <c r="Q220" s="734">
        <f t="shared" si="211"/>
        <v>0</v>
      </c>
      <c r="R220" s="733">
        <f t="shared" si="205"/>
        <v>-11262541</v>
      </c>
      <c r="S220" s="2824"/>
      <c r="T220" s="537"/>
    </row>
    <row r="221" spans="1:20" s="726" customFormat="1" ht="12.75" customHeight="1" x14ac:dyDescent="0.2">
      <c r="A221" s="2811"/>
      <c r="B221" s="565" t="s">
        <v>17</v>
      </c>
      <c r="C221" s="566"/>
      <c r="D221" s="826">
        <f t="shared" ref="D221:M222" si="226">+D222</f>
        <v>15022000</v>
      </c>
      <c r="E221" s="827">
        <f t="shared" si="226"/>
        <v>0</v>
      </c>
      <c r="F221" s="828">
        <f t="shared" si="226"/>
        <v>2910028</v>
      </c>
      <c r="G221" s="828">
        <f t="shared" si="226"/>
        <v>12111972</v>
      </c>
      <c r="H221" s="843">
        <f t="shared" si="226"/>
        <v>0</v>
      </c>
      <c r="I221" s="826">
        <f t="shared" si="226"/>
        <v>15022000</v>
      </c>
      <c r="J221" s="827">
        <f t="shared" si="226"/>
        <v>0</v>
      </c>
      <c r="K221" s="828">
        <f>+K222</f>
        <v>2910028</v>
      </c>
      <c r="L221" s="828">
        <f t="shared" si="226"/>
        <v>12111972</v>
      </c>
      <c r="M221" s="875">
        <f t="shared" si="226"/>
        <v>0</v>
      </c>
      <c r="N221" s="826">
        <f>+N222</f>
        <v>3532130</v>
      </c>
      <c r="O221" s="830">
        <f t="shared" si="210"/>
        <v>23.513047530288912</v>
      </c>
      <c r="P221" s="828">
        <f>+P222</f>
        <v>622102</v>
      </c>
      <c r="Q221" s="830">
        <f t="shared" si="211"/>
        <v>5.1362569200126948</v>
      </c>
      <c r="R221" s="828">
        <f t="shared" si="205"/>
        <v>-11489870</v>
      </c>
      <c r="S221" s="2816"/>
      <c r="T221" s="537"/>
    </row>
    <row r="222" spans="1:20" s="877" customFormat="1" ht="12.75" customHeight="1" x14ac:dyDescent="0.2">
      <c r="A222" s="2811"/>
      <c r="B222" s="703" t="s">
        <v>13</v>
      </c>
      <c r="C222" s="2771" t="s">
        <v>42</v>
      </c>
      <c r="D222" s="774">
        <f t="shared" si="226"/>
        <v>15022000</v>
      </c>
      <c r="E222" s="802">
        <f t="shared" si="226"/>
        <v>0</v>
      </c>
      <c r="F222" s="776">
        <f t="shared" si="226"/>
        <v>2910028</v>
      </c>
      <c r="G222" s="776">
        <f t="shared" si="226"/>
        <v>12111972</v>
      </c>
      <c r="H222" s="803">
        <f t="shared" si="226"/>
        <v>0</v>
      </c>
      <c r="I222" s="774">
        <f t="shared" si="226"/>
        <v>15022000</v>
      </c>
      <c r="J222" s="802">
        <f t="shared" si="226"/>
        <v>0</v>
      </c>
      <c r="K222" s="776">
        <f>+K223</f>
        <v>2910028</v>
      </c>
      <c r="L222" s="776">
        <f t="shared" si="226"/>
        <v>12111972</v>
      </c>
      <c r="M222" s="876">
        <f t="shared" si="226"/>
        <v>0</v>
      </c>
      <c r="N222" s="774">
        <f>+N223</f>
        <v>3532130</v>
      </c>
      <c r="O222" s="779">
        <f t="shared" si="210"/>
        <v>23.513047530288912</v>
      </c>
      <c r="P222" s="775">
        <f>+P223</f>
        <v>622102</v>
      </c>
      <c r="Q222" s="779">
        <f t="shared" si="211"/>
        <v>5.1362569200126948</v>
      </c>
      <c r="R222" s="775">
        <f t="shared" si="205"/>
        <v>-11489870</v>
      </c>
      <c r="S222" s="2816"/>
      <c r="T222" s="537"/>
    </row>
    <row r="223" spans="1:20" s="726" customFormat="1" ht="12.75" customHeight="1" thickBot="1" x14ac:dyDescent="0.25">
      <c r="A223" s="2812"/>
      <c r="B223" s="780" t="s">
        <v>15</v>
      </c>
      <c r="C223" s="2818"/>
      <c r="D223" s="718">
        <f>+E223+F223+G223+H223</f>
        <v>15022000</v>
      </c>
      <c r="E223" s="719">
        <v>0</v>
      </c>
      <c r="F223" s="781">
        <v>2910028</v>
      </c>
      <c r="G223" s="781">
        <v>12111972</v>
      </c>
      <c r="H223" s="783">
        <v>0</v>
      </c>
      <c r="I223" s="718">
        <f>+J223+K223+L223+M223</f>
        <v>15022000</v>
      </c>
      <c r="J223" s="719">
        <v>0</v>
      </c>
      <c r="K223" s="781">
        <v>2910028</v>
      </c>
      <c r="L223" s="781">
        <v>12111972</v>
      </c>
      <c r="M223" s="878">
        <v>0</v>
      </c>
      <c r="N223" s="784">
        <f>J223+K223+P223</f>
        <v>3532130</v>
      </c>
      <c r="O223" s="785">
        <f t="shared" si="210"/>
        <v>23.513047530288912</v>
      </c>
      <c r="P223" s="781">
        <v>622102</v>
      </c>
      <c r="Q223" s="785">
        <f t="shared" si="211"/>
        <v>5.1362569200126948</v>
      </c>
      <c r="R223" s="786">
        <f t="shared" si="205"/>
        <v>-11489870</v>
      </c>
      <c r="S223" s="2818"/>
      <c r="T223" s="537"/>
    </row>
    <row r="224" spans="1:20" ht="28.5" customHeight="1" x14ac:dyDescent="0.2">
      <c r="A224" s="2809" t="s">
        <v>67</v>
      </c>
      <c r="B224" s="675" t="s">
        <v>335</v>
      </c>
      <c r="C224" s="676" t="s">
        <v>225</v>
      </c>
      <c r="D224" s="680"/>
      <c r="E224" s="678"/>
      <c r="F224" s="678"/>
      <c r="G224" s="678"/>
      <c r="H224" s="679"/>
      <c r="I224" s="680"/>
      <c r="J224" s="678"/>
      <c r="K224" s="678"/>
      <c r="L224" s="678"/>
      <c r="M224" s="679"/>
      <c r="N224" s="680"/>
      <c r="O224" s="681"/>
      <c r="P224" s="678"/>
      <c r="Q224" s="681"/>
      <c r="R224" s="678"/>
      <c r="S224" s="2823" t="s">
        <v>45</v>
      </c>
      <c r="T224" s="537"/>
    </row>
    <row r="225" spans="1:20" ht="12.75" customHeight="1" x14ac:dyDescent="0.2">
      <c r="A225" s="2810"/>
      <c r="B225" s="879" t="s">
        <v>3</v>
      </c>
      <c r="C225" s="566"/>
      <c r="D225" s="826">
        <f t="shared" ref="D225:H225" si="227">+D226+D229</f>
        <v>10170615</v>
      </c>
      <c r="E225" s="828">
        <f t="shared" si="227"/>
        <v>9170615</v>
      </c>
      <c r="F225" s="827">
        <f t="shared" si="227"/>
        <v>0</v>
      </c>
      <c r="G225" s="828">
        <f t="shared" si="227"/>
        <v>1000000</v>
      </c>
      <c r="H225" s="843">
        <f t="shared" si="227"/>
        <v>0</v>
      </c>
      <c r="I225" s="826">
        <f t="shared" ref="I225:N225" si="228">+I226+I229</f>
        <v>10170615</v>
      </c>
      <c r="J225" s="828">
        <f t="shared" si="228"/>
        <v>9170615</v>
      </c>
      <c r="K225" s="827">
        <f t="shared" si="228"/>
        <v>0</v>
      </c>
      <c r="L225" s="828">
        <f t="shared" si="228"/>
        <v>1000000</v>
      </c>
      <c r="M225" s="875">
        <f t="shared" si="228"/>
        <v>0</v>
      </c>
      <c r="N225" s="826">
        <f t="shared" si="228"/>
        <v>9170615</v>
      </c>
      <c r="O225" s="830">
        <f t="shared" si="210"/>
        <v>90.167752884166788</v>
      </c>
      <c r="P225" s="828">
        <f>+P226+P229</f>
        <v>0</v>
      </c>
      <c r="Q225" s="830">
        <f t="shared" si="211"/>
        <v>0</v>
      </c>
      <c r="R225" s="828">
        <f t="shared" si="205"/>
        <v>-1000000</v>
      </c>
      <c r="S225" s="2824"/>
      <c r="T225" s="537"/>
    </row>
    <row r="226" spans="1:20" ht="12.75" customHeight="1" x14ac:dyDescent="0.2">
      <c r="A226" s="2810"/>
      <c r="B226" s="789" t="s">
        <v>18</v>
      </c>
      <c r="C226" s="2815" t="s">
        <v>46</v>
      </c>
      <c r="D226" s="693">
        <f>+D227+D228</f>
        <v>3936991.25</v>
      </c>
      <c r="E226" s="695">
        <f>+E227+E228</f>
        <v>2936991.25</v>
      </c>
      <c r="F226" s="744">
        <f>+F227+F228</f>
        <v>0</v>
      </c>
      <c r="G226" s="695">
        <f>+G227+G228</f>
        <v>1000000</v>
      </c>
      <c r="H226" s="744">
        <f>+H227</f>
        <v>0</v>
      </c>
      <c r="I226" s="693">
        <f>+I227+I228</f>
        <v>3936991.25</v>
      </c>
      <c r="J226" s="695">
        <f>+J227+J228</f>
        <v>2936991.25</v>
      </c>
      <c r="K226" s="744">
        <f>+K227+K228</f>
        <v>0</v>
      </c>
      <c r="L226" s="695">
        <f>+L227+L228</f>
        <v>1000000</v>
      </c>
      <c r="M226" s="745">
        <f>+M227</f>
        <v>0</v>
      </c>
      <c r="N226" s="693">
        <f>+N227+N228</f>
        <v>2936991.25</v>
      </c>
      <c r="O226" s="694">
        <f t="shared" si="210"/>
        <v>74.599892748047125</v>
      </c>
      <c r="P226" s="695">
        <f>+P227+P228</f>
        <v>0</v>
      </c>
      <c r="Q226" s="694">
        <f t="shared" si="211"/>
        <v>0</v>
      </c>
      <c r="R226" s="695">
        <f t="shared" si="205"/>
        <v>-1000000</v>
      </c>
      <c r="S226" s="2824"/>
      <c r="T226" s="537"/>
    </row>
    <row r="227" spans="1:20" ht="12.75" customHeight="1" x14ac:dyDescent="0.2">
      <c r="A227" s="2810"/>
      <c r="B227" s="696" t="s">
        <v>5</v>
      </c>
      <c r="C227" s="2816"/>
      <c r="D227" s="697">
        <f>++E227+F227+G227</f>
        <v>3114543.25</v>
      </c>
      <c r="E227" s="699">
        <f>944878-34817+43962.25+1160520</f>
        <v>2114543.25</v>
      </c>
      <c r="F227" s="735">
        <v>0</v>
      </c>
      <c r="G227" s="733">
        <v>1000000</v>
      </c>
      <c r="H227" s="736">
        <v>0</v>
      </c>
      <c r="I227" s="697">
        <f>++J227+K227+L227</f>
        <v>3114543.25</v>
      </c>
      <c r="J227" s="699">
        <f>944878-34817+43962.25+1160520</f>
        <v>2114543.25</v>
      </c>
      <c r="K227" s="735">
        <v>0</v>
      </c>
      <c r="L227" s="733">
        <v>1000000</v>
      </c>
      <c r="M227" s="736">
        <v>0</v>
      </c>
      <c r="N227" s="762">
        <f>J227+K227+P227</f>
        <v>2114543.25</v>
      </c>
      <c r="O227" s="734">
        <f t="shared" si="210"/>
        <v>67.892563379879206</v>
      </c>
      <c r="P227" s="733">
        <v>0</v>
      </c>
      <c r="Q227" s="734">
        <f t="shared" si="211"/>
        <v>0</v>
      </c>
      <c r="R227" s="733">
        <f t="shared" si="205"/>
        <v>-1000000</v>
      </c>
      <c r="S227" s="2824"/>
      <c r="T227" s="537"/>
    </row>
    <row r="228" spans="1:20" ht="12.75" customHeight="1" x14ac:dyDescent="0.2">
      <c r="A228" s="2810"/>
      <c r="B228" s="855" t="s">
        <v>10</v>
      </c>
      <c r="C228" s="2816"/>
      <c r="D228" s="697">
        <f>++E228+F228+G228</f>
        <v>822448</v>
      </c>
      <c r="E228" s="733">
        <v>822448</v>
      </c>
      <c r="F228" s="735">
        <v>0</v>
      </c>
      <c r="G228" s="735">
        <v>0</v>
      </c>
      <c r="H228" s="736">
        <v>0</v>
      </c>
      <c r="I228" s="697">
        <f>++J228+K228+L228</f>
        <v>822448</v>
      </c>
      <c r="J228" s="733">
        <v>822448</v>
      </c>
      <c r="K228" s="735">
        <v>0</v>
      </c>
      <c r="L228" s="735">
        <v>0</v>
      </c>
      <c r="M228" s="736">
        <v>0</v>
      </c>
      <c r="N228" s="762">
        <f>J228+K228+P228</f>
        <v>822448</v>
      </c>
      <c r="O228" s="734">
        <f t="shared" si="210"/>
        <v>100</v>
      </c>
      <c r="P228" s="698">
        <v>0</v>
      </c>
      <c r="Q228" s="735">
        <v>0</v>
      </c>
      <c r="R228" s="733">
        <f t="shared" si="205"/>
        <v>0</v>
      </c>
      <c r="S228" s="2824"/>
      <c r="T228" s="537"/>
    </row>
    <row r="229" spans="1:20" ht="12.75" customHeight="1" x14ac:dyDescent="0.2">
      <c r="A229" s="2810"/>
      <c r="B229" s="795" t="s">
        <v>13</v>
      </c>
      <c r="C229" s="2816"/>
      <c r="D229" s="704">
        <f t="shared" ref="D229:H229" si="229">+D230</f>
        <v>6233623.75</v>
      </c>
      <c r="E229" s="705">
        <f t="shared" si="229"/>
        <v>6233623.75</v>
      </c>
      <c r="F229" s="706">
        <f t="shared" si="229"/>
        <v>0</v>
      </c>
      <c r="G229" s="706">
        <f t="shared" si="229"/>
        <v>0</v>
      </c>
      <c r="H229" s="707">
        <f t="shared" si="229"/>
        <v>0</v>
      </c>
      <c r="I229" s="704">
        <f t="shared" ref="I229:N229" si="230">+I230</f>
        <v>6233623.75</v>
      </c>
      <c r="J229" s="705">
        <f t="shared" si="230"/>
        <v>6233623.75</v>
      </c>
      <c r="K229" s="706">
        <f t="shared" si="230"/>
        <v>0</v>
      </c>
      <c r="L229" s="706">
        <f t="shared" si="230"/>
        <v>0</v>
      </c>
      <c r="M229" s="707">
        <f t="shared" si="230"/>
        <v>0</v>
      </c>
      <c r="N229" s="704">
        <f t="shared" si="230"/>
        <v>6233623.75</v>
      </c>
      <c r="O229" s="708">
        <f t="shared" si="210"/>
        <v>100</v>
      </c>
      <c r="P229" s="706">
        <f>+P230</f>
        <v>0</v>
      </c>
      <c r="Q229" s="706">
        <v>0</v>
      </c>
      <c r="R229" s="705">
        <f t="shared" si="205"/>
        <v>0</v>
      </c>
      <c r="S229" s="2824"/>
      <c r="T229" s="537"/>
    </row>
    <row r="230" spans="1:20" ht="12.75" customHeight="1" x14ac:dyDescent="0.2">
      <c r="A230" s="2810"/>
      <c r="B230" s="696" t="s">
        <v>15</v>
      </c>
      <c r="C230" s="2816"/>
      <c r="D230" s="697">
        <f>+E230+F230+G230</f>
        <v>6233623.75</v>
      </c>
      <c r="E230" s="699">
        <f>2834632-151790+131886.75+3418895</f>
        <v>6233623.75</v>
      </c>
      <c r="F230" s="735">
        <v>0</v>
      </c>
      <c r="G230" s="735">
        <v>0</v>
      </c>
      <c r="H230" s="736">
        <v>0</v>
      </c>
      <c r="I230" s="697">
        <f>+J230+K230+L230</f>
        <v>6233623.75</v>
      </c>
      <c r="J230" s="699">
        <f>2834632-151790+131886.75+3418895</f>
        <v>6233623.75</v>
      </c>
      <c r="K230" s="735">
        <v>0</v>
      </c>
      <c r="L230" s="735">
        <v>0</v>
      </c>
      <c r="M230" s="736">
        <v>0</v>
      </c>
      <c r="N230" s="762">
        <f>J230+K230+P230</f>
        <v>6233623.75</v>
      </c>
      <c r="O230" s="734">
        <f t="shared" si="210"/>
        <v>100</v>
      </c>
      <c r="P230" s="698">
        <v>0</v>
      </c>
      <c r="Q230" s="735">
        <v>0</v>
      </c>
      <c r="R230" s="733">
        <f t="shared" si="205"/>
        <v>0</v>
      </c>
      <c r="S230" s="2824"/>
      <c r="T230" s="537"/>
    </row>
    <row r="231" spans="1:20" s="726" customFormat="1" ht="12.75" customHeight="1" x14ac:dyDescent="0.2">
      <c r="A231" s="2811"/>
      <c r="B231" s="787" t="s">
        <v>17</v>
      </c>
      <c r="C231" s="684"/>
      <c r="D231" s="685">
        <f t="shared" ref="D231:H231" si="231">+D234+D232</f>
        <v>7056072</v>
      </c>
      <c r="E231" s="753">
        <f t="shared" si="231"/>
        <v>6440789</v>
      </c>
      <c r="F231" s="753">
        <f t="shared" si="231"/>
        <v>615283</v>
      </c>
      <c r="G231" s="754">
        <f t="shared" si="231"/>
        <v>0</v>
      </c>
      <c r="H231" s="687">
        <f t="shared" si="231"/>
        <v>0</v>
      </c>
      <c r="I231" s="685">
        <f t="shared" ref="I231:N231" si="232">+I234+I232</f>
        <v>7056072</v>
      </c>
      <c r="J231" s="753">
        <f t="shared" ref="J231" si="233">+J234+J232</f>
        <v>6440789</v>
      </c>
      <c r="K231" s="753">
        <f t="shared" si="232"/>
        <v>615283</v>
      </c>
      <c r="L231" s="754">
        <f t="shared" si="232"/>
        <v>0</v>
      </c>
      <c r="M231" s="687">
        <f t="shared" si="232"/>
        <v>0</v>
      </c>
      <c r="N231" s="685">
        <f t="shared" si="232"/>
        <v>7056072</v>
      </c>
      <c r="O231" s="712">
        <f t="shared" si="210"/>
        <v>100</v>
      </c>
      <c r="P231" s="754">
        <f>+P234+P232</f>
        <v>0</v>
      </c>
      <c r="Q231" s="712">
        <v>0</v>
      </c>
      <c r="R231" s="686">
        <f t="shared" si="205"/>
        <v>0</v>
      </c>
      <c r="S231" s="2816"/>
      <c r="T231" s="537"/>
    </row>
    <row r="232" spans="1:20" s="726" customFormat="1" ht="12.75" customHeight="1" x14ac:dyDescent="0.2">
      <c r="A232" s="2811"/>
      <c r="B232" s="789" t="s">
        <v>18</v>
      </c>
      <c r="C232" s="2832" t="s">
        <v>59</v>
      </c>
      <c r="D232" s="730">
        <f>+D233</f>
        <v>822448</v>
      </c>
      <c r="E232" s="731">
        <f>+E233</f>
        <v>822448</v>
      </c>
      <c r="F232" s="866">
        <f>+F233</f>
        <v>0</v>
      </c>
      <c r="G232" s="866">
        <v>0</v>
      </c>
      <c r="H232" s="867">
        <f>+H233</f>
        <v>0</v>
      </c>
      <c r="I232" s="730">
        <f>+I233</f>
        <v>822448</v>
      </c>
      <c r="J232" s="731">
        <f>+J233</f>
        <v>822448</v>
      </c>
      <c r="K232" s="866">
        <f>+K233</f>
        <v>0</v>
      </c>
      <c r="L232" s="866">
        <v>0</v>
      </c>
      <c r="M232" s="867">
        <f>+M233</f>
        <v>0</v>
      </c>
      <c r="N232" s="730">
        <f>+N233</f>
        <v>822448</v>
      </c>
      <c r="O232" s="880">
        <f t="shared" si="210"/>
        <v>100</v>
      </c>
      <c r="P232" s="881">
        <f>+P233</f>
        <v>0</v>
      </c>
      <c r="Q232" s="881">
        <v>0</v>
      </c>
      <c r="R232" s="731">
        <f t="shared" si="205"/>
        <v>0</v>
      </c>
      <c r="S232" s="2816"/>
      <c r="T232" s="537"/>
    </row>
    <row r="233" spans="1:20" s="726" customFormat="1" ht="12.75" customHeight="1" x14ac:dyDescent="0.2">
      <c r="A233" s="2811"/>
      <c r="B233" s="855" t="s">
        <v>10</v>
      </c>
      <c r="C233" s="2832"/>
      <c r="D233" s="697">
        <f>++E233+F233+G233</f>
        <v>822448</v>
      </c>
      <c r="E233" s="882">
        <v>822448</v>
      </c>
      <c r="F233" s="883">
        <v>0</v>
      </c>
      <c r="G233" s="883">
        <v>0</v>
      </c>
      <c r="H233" s="884">
        <v>0</v>
      </c>
      <c r="I233" s="697">
        <f>++J233+K233+L233</f>
        <v>822448</v>
      </c>
      <c r="J233" s="882">
        <v>822448</v>
      </c>
      <c r="K233" s="883">
        <v>0</v>
      </c>
      <c r="L233" s="883">
        <v>0</v>
      </c>
      <c r="M233" s="884">
        <v>0</v>
      </c>
      <c r="N233" s="762">
        <f>J233+K233+P233</f>
        <v>822448</v>
      </c>
      <c r="O233" s="702">
        <f t="shared" si="210"/>
        <v>100</v>
      </c>
      <c r="P233" s="883">
        <v>0</v>
      </c>
      <c r="Q233" s="698">
        <v>0</v>
      </c>
      <c r="R233" s="733">
        <f t="shared" si="205"/>
        <v>0</v>
      </c>
      <c r="S233" s="2816"/>
      <c r="T233" s="537"/>
    </row>
    <row r="234" spans="1:20" s="877" customFormat="1" ht="12.75" customHeight="1" x14ac:dyDescent="0.2">
      <c r="A234" s="2811"/>
      <c r="B234" s="795" t="s">
        <v>13</v>
      </c>
      <c r="C234" s="2832"/>
      <c r="D234" s="856">
        <f t="shared" ref="D234:M234" si="234">D235</f>
        <v>6233624</v>
      </c>
      <c r="E234" s="775">
        <f t="shared" si="234"/>
        <v>5618341</v>
      </c>
      <c r="F234" s="775">
        <f t="shared" si="234"/>
        <v>615283</v>
      </c>
      <c r="G234" s="802">
        <f t="shared" si="234"/>
        <v>0</v>
      </c>
      <c r="H234" s="802">
        <f t="shared" si="234"/>
        <v>0</v>
      </c>
      <c r="I234" s="856">
        <f t="shared" si="234"/>
        <v>6233624</v>
      </c>
      <c r="J234" s="775">
        <f t="shared" si="234"/>
        <v>5618341</v>
      </c>
      <c r="K234" s="775">
        <f t="shared" si="234"/>
        <v>615283</v>
      </c>
      <c r="L234" s="802">
        <f t="shared" si="234"/>
        <v>0</v>
      </c>
      <c r="M234" s="803">
        <f t="shared" si="234"/>
        <v>0</v>
      </c>
      <c r="N234" s="762">
        <f>+N235</f>
        <v>6233624</v>
      </c>
      <c r="O234" s="702">
        <f t="shared" si="210"/>
        <v>100</v>
      </c>
      <c r="P234" s="777">
        <f>+P235</f>
        <v>0</v>
      </c>
      <c r="Q234" s="698">
        <v>0</v>
      </c>
      <c r="R234" s="776">
        <f t="shared" si="205"/>
        <v>0</v>
      </c>
      <c r="S234" s="2816"/>
      <c r="T234" s="537"/>
    </row>
    <row r="235" spans="1:20" s="726" customFormat="1" ht="12.75" customHeight="1" thickBot="1" x14ac:dyDescent="0.25">
      <c r="A235" s="2812"/>
      <c r="B235" s="780" t="s">
        <v>15</v>
      </c>
      <c r="C235" s="2833"/>
      <c r="D235" s="718">
        <f>+E235+F235+G235+H235</f>
        <v>6233624</v>
      </c>
      <c r="E235" s="781">
        <f>2714556+2903785</f>
        <v>5618341</v>
      </c>
      <c r="F235" s="781">
        <v>615283</v>
      </c>
      <c r="G235" s="782">
        <v>0</v>
      </c>
      <c r="H235" s="885">
        <v>0</v>
      </c>
      <c r="I235" s="718">
        <f>+J235+K235+L235+M235</f>
        <v>6233624</v>
      </c>
      <c r="J235" s="781">
        <f>2714556+2903785</f>
        <v>5618341</v>
      </c>
      <c r="K235" s="781">
        <v>615283</v>
      </c>
      <c r="L235" s="782">
        <v>0</v>
      </c>
      <c r="M235" s="885">
        <v>0</v>
      </c>
      <c r="N235" s="784">
        <f>J235+K235+P235</f>
        <v>6233624</v>
      </c>
      <c r="O235" s="785">
        <f t="shared" si="210"/>
        <v>100</v>
      </c>
      <c r="P235" s="698">
        <v>0</v>
      </c>
      <c r="Q235" s="782">
        <v>0</v>
      </c>
      <c r="R235" s="786">
        <f t="shared" si="205"/>
        <v>0</v>
      </c>
      <c r="S235" s="2818"/>
      <c r="T235" s="537"/>
    </row>
    <row r="236" spans="1:20" ht="27" customHeight="1" x14ac:dyDescent="0.2">
      <c r="A236" s="2809" t="s">
        <v>69</v>
      </c>
      <c r="B236" s="675" t="s">
        <v>71</v>
      </c>
      <c r="C236" s="676" t="s">
        <v>225</v>
      </c>
      <c r="D236" s="680"/>
      <c r="E236" s="678"/>
      <c r="F236" s="678"/>
      <c r="G236" s="678"/>
      <c r="H236" s="679"/>
      <c r="I236" s="680"/>
      <c r="J236" s="678"/>
      <c r="K236" s="678"/>
      <c r="L236" s="678"/>
      <c r="M236" s="679"/>
      <c r="N236" s="680"/>
      <c r="O236" s="681"/>
      <c r="P236" s="678"/>
      <c r="Q236" s="681"/>
      <c r="R236" s="678"/>
      <c r="S236" s="2823" t="s">
        <v>45</v>
      </c>
      <c r="T236" s="537"/>
    </row>
    <row r="237" spans="1:20" ht="13.5" customHeight="1" x14ac:dyDescent="0.2">
      <c r="A237" s="2810"/>
      <c r="B237" s="565" t="s">
        <v>3</v>
      </c>
      <c r="C237" s="566"/>
      <c r="D237" s="817">
        <f t="shared" ref="D237:H237" si="235">+D238+D240</f>
        <v>20700000</v>
      </c>
      <c r="E237" s="815">
        <f t="shared" si="235"/>
        <v>94400</v>
      </c>
      <c r="F237" s="815">
        <f t="shared" si="235"/>
        <v>272752</v>
      </c>
      <c r="G237" s="815">
        <f t="shared" si="235"/>
        <v>20332848</v>
      </c>
      <c r="H237" s="852">
        <f t="shared" si="235"/>
        <v>0</v>
      </c>
      <c r="I237" s="817">
        <f t="shared" ref="I237:N237" si="236">+I238+I240</f>
        <v>20700000.34</v>
      </c>
      <c r="J237" s="815">
        <f t="shared" ref="J237" si="237">+J238+J240</f>
        <v>94400</v>
      </c>
      <c r="K237" s="815">
        <f>+K238+K240</f>
        <v>272752.34000000003</v>
      </c>
      <c r="L237" s="815">
        <f t="shared" si="236"/>
        <v>20332848</v>
      </c>
      <c r="M237" s="816">
        <f t="shared" si="236"/>
        <v>0</v>
      </c>
      <c r="N237" s="817">
        <f t="shared" si="236"/>
        <v>413798.31</v>
      </c>
      <c r="O237" s="818">
        <f t="shared" si="210"/>
        <v>1.9990256521739129</v>
      </c>
      <c r="P237" s="815">
        <f>+P238+P240</f>
        <v>46645.97</v>
      </c>
      <c r="Q237" s="818">
        <f t="shared" si="211"/>
        <v>0.22941188563451614</v>
      </c>
      <c r="R237" s="815">
        <f t="shared" si="205"/>
        <v>-20286202.030000001</v>
      </c>
      <c r="S237" s="2824"/>
      <c r="T237" s="537"/>
    </row>
    <row r="238" spans="1:20" ht="12.75" customHeight="1" x14ac:dyDescent="0.2">
      <c r="A238" s="2810"/>
      <c r="B238" s="819" t="s">
        <v>18</v>
      </c>
      <c r="C238" s="2771" t="s">
        <v>46</v>
      </c>
      <c r="D238" s="820">
        <f t="shared" ref="D238:H238" si="238">+D239</f>
        <v>7275000</v>
      </c>
      <c r="E238" s="821">
        <f t="shared" si="238"/>
        <v>32277</v>
      </c>
      <c r="F238" s="821">
        <f t="shared" si="238"/>
        <v>93257</v>
      </c>
      <c r="G238" s="821">
        <f t="shared" si="238"/>
        <v>7149466</v>
      </c>
      <c r="H238" s="854">
        <f t="shared" si="238"/>
        <v>0</v>
      </c>
      <c r="I238" s="820">
        <f t="shared" ref="I238:N238" si="239">+I239</f>
        <v>7277601.6100000003</v>
      </c>
      <c r="J238" s="821">
        <f t="shared" si="239"/>
        <v>32277</v>
      </c>
      <c r="K238" s="821">
        <f>+K239</f>
        <v>95858.61</v>
      </c>
      <c r="L238" s="821">
        <f t="shared" si="239"/>
        <v>7149466</v>
      </c>
      <c r="M238" s="822">
        <f t="shared" si="239"/>
        <v>0</v>
      </c>
      <c r="N238" s="820">
        <f t="shared" si="239"/>
        <v>144084.38</v>
      </c>
      <c r="O238" s="823">
        <f t="shared" si="210"/>
        <v>1.9805413058419246</v>
      </c>
      <c r="P238" s="821">
        <f>+P239</f>
        <v>15948.77</v>
      </c>
      <c r="Q238" s="823">
        <f t="shared" si="211"/>
        <v>0.22307638080941988</v>
      </c>
      <c r="R238" s="821">
        <f t="shared" si="205"/>
        <v>-7133517.2300000004</v>
      </c>
      <c r="S238" s="2824"/>
      <c r="T238" s="537"/>
    </row>
    <row r="239" spans="1:20" ht="12.75" customHeight="1" x14ac:dyDescent="0.2">
      <c r="A239" s="2810"/>
      <c r="B239" s="886" t="s">
        <v>5</v>
      </c>
      <c r="C239" s="2816"/>
      <c r="D239" s="697">
        <f>++E239+F239+G239+H239</f>
        <v>7275000</v>
      </c>
      <c r="E239" s="733">
        <v>32277</v>
      </c>
      <c r="F239" s="733">
        <v>93257</v>
      </c>
      <c r="G239" s="733">
        <v>7149466</v>
      </c>
      <c r="H239" s="873">
        <v>0</v>
      </c>
      <c r="I239" s="697">
        <f>++J239+K239+L239+M239</f>
        <v>7277601.6100000003</v>
      </c>
      <c r="J239" s="733">
        <v>32277</v>
      </c>
      <c r="K239" s="733">
        <v>95858.61</v>
      </c>
      <c r="L239" s="733">
        <v>7149466</v>
      </c>
      <c r="M239" s="874">
        <v>0</v>
      </c>
      <c r="N239" s="762">
        <f>J239+K239+P239</f>
        <v>144084.38</v>
      </c>
      <c r="O239" s="734">
        <f t="shared" si="210"/>
        <v>1.9805413058419246</v>
      </c>
      <c r="P239" s="699">
        <v>15948.77</v>
      </c>
      <c r="Q239" s="734">
        <f t="shared" si="211"/>
        <v>0.22307638080941988</v>
      </c>
      <c r="R239" s="733">
        <f t="shared" si="205"/>
        <v>-7133517.2300000004</v>
      </c>
      <c r="S239" s="2824"/>
      <c r="T239" s="537"/>
    </row>
    <row r="240" spans="1:20" ht="12.75" customHeight="1" x14ac:dyDescent="0.2">
      <c r="A240" s="2810"/>
      <c r="B240" s="703" t="s">
        <v>13</v>
      </c>
      <c r="C240" s="2816"/>
      <c r="D240" s="704">
        <f t="shared" ref="D240:H240" si="240">+D241</f>
        <v>13425000</v>
      </c>
      <c r="E240" s="705">
        <f t="shared" si="240"/>
        <v>62123</v>
      </c>
      <c r="F240" s="705">
        <f t="shared" si="240"/>
        <v>179495</v>
      </c>
      <c r="G240" s="705">
        <f t="shared" si="240"/>
        <v>13183382</v>
      </c>
      <c r="H240" s="707">
        <f t="shared" si="240"/>
        <v>0</v>
      </c>
      <c r="I240" s="704">
        <f t="shared" ref="I240:N240" si="241">+I241</f>
        <v>13422398.73</v>
      </c>
      <c r="J240" s="705">
        <f t="shared" si="241"/>
        <v>62123</v>
      </c>
      <c r="K240" s="705">
        <f>+K241</f>
        <v>176893.73</v>
      </c>
      <c r="L240" s="705">
        <f t="shared" si="241"/>
        <v>13183382</v>
      </c>
      <c r="M240" s="825">
        <f t="shared" si="241"/>
        <v>0</v>
      </c>
      <c r="N240" s="704">
        <f t="shared" si="241"/>
        <v>269713.93</v>
      </c>
      <c r="O240" s="708">
        <f t="shared" si="210"/>
        <v>2.0090423091247671</v>
      </c>
      <c r="P240" s="705">
        <f>+P241</f>
        <v>30697.200000000001</v>
      </c>
      <c r="Q240" s="708">
        <f t="shared" si="211"/>
        <v>0.23284768657996863</v>
      </c>
      <c r="R240" s="705">
        <f t="shared" si="205"/>
        <v>-13152684.800000001</v>
      </c>
      <c r="S240" s="2824"/>
      <c r="T240" s="537"/>
    </row>
    <row r="241" spans="1:20" ht="12.75" customHeight="1" x14ac:dyDescent="0.2">
      <c r="A241" s="2810"/>
      <c r="B241" s="886" t="s">
        <v>15</v>
      </c>
      <c r="C241" s="2816"/>
      <c r="D241" s="697">
        <f>++E241+F241+G241+H241</f>
        <v>13425000</v>
      </c>
      <c r="E241" s="733">
        <v>62123</v>
      </c>
      <c r="F241" s="733">
        <v>179495</v>
      </c>
      <c r="G241" s="733">
        <v>13183382</v>
      </c>
      <c r="H241" s="736">
        <v>0</v>
      </c>
      <c r="I241" s="697">
        <f>++J241+K241+L241+M241</f>
        <v>13422398.73</v>
      </c>
      <c r="J241" s="733">
        <v>62123</v>
      </c>
      <c r="K241" s="733">
        <v>176893.73</v>
      </c>
      <c r="L241" s="733">
        <v>13183382</v>
      </c>
      <c r="M241" s="824">
        <v>0</v>
      </c>
      <c r="N241" s="762">
        <f>J241+K241+P241</f>
        <v>269713.93</v>
      </c>
      <c r="O241" s="734">
        <f t="shared" si="210"/>
        <v>2.0090423091247671</v>
      </c>
      <c r="P241" s="699">
        <v>30697.200000000001</v>
      </c>
      <c r="Q241" s="734">
        <f t="shared" si="211"/>
        <v>0.23284768657996863</v>
      </c>
      <c r="R241" s="733">
        <f t="shared" si="205"/>
        <v>-13152684.800000001</v>
      </c>
      <c r="S241" s="2824"/>
      <c r="T241" s="537"/>
    </row>
    <row r="242" spans="1:20" s="726" customFormat="1" ht="12.75" customHeight="1" x14ac:dyDescent="0.2">
      <c r="A242" s="2811"/>
      <c r="B242" s="565" t="s">
        <v>17</v>
      </c>
      <c r="C242" s="566"/>
      <c r="D242" s="826">
        <f t="shared" ref="D242:N243" si="242">+D243</f>
        <v>13425000</v>
      </c>
      <c r="E242" s="827">
        <f t="shared" si="242"/>
        <v>0</v>
      </c>
      <c r="F242" s="827">
        <f t="shared" si="242"/>
        <v>0</v>
      </c>
      <c r="G242" s="828">
        <f t="shared" si="242"/>
        <v>10800000</v>
      </c>
      <c r="H242" s="829">
        <f t="shared" si="242"/>
        <v>2625000</v>
      </c>
      <c r="I242" s="826">
        <f t="shared" si="242"/>
        <v>13425000</v>
      </c>
      <c r="J242" s="827">
        <f t="shared" si="242"/>
        <v>0</v>
      </c>
      <c r="K242" s="827">
        <f>+K243</f>
        <v>0</v>
      </c>
      <c r="L242" s="828">
        <f t="shared" si="242"/>
        <v>10800000</v>
      </c>
      <c r="M242" s="829">
        <f t="shared" si="242"/>
        <v>2625000</v>
      </c>
      <c r="N242" s="817">
        <f t="shared" ref="N242" si="243">+N243+N245</f>
        <v>0</v>
      </c>
      <c r="O242" s="818">
        <f t="shared" si="210"/>
        <v>0</v>
      </c>
      <c r="P242" s="815">
        <f>+P243</f>
        <v>0</v>
      </c>
      <c r="Q242" s="818">
        <f t="shared" si="211"/>
        <v>0</v>
      </c>
      <c r="R242" s="815">
        <f t="shared" si="205"/>
        <v>-10800000</v>
      </c>
      <c r="S242" s="2816"/>
      <c r="T242" s="537"/>
    </row>
    <row r="243" spans="1:20" s="877" customFormat="1" ht="12.75" customHeight="1" x14ac:dyDescent="0.2">
      <c r="A243" s="2811"/>
      <c r="B243" s="703" t="s">
        <v>13</v>
      </c>
      <c r="C243" s="2771" t="s">
        <v>42</v>
      </c>
      <c r="D243" s="774">
        <f t="shared" si="242"/>
        <v>13425000</v>
      </c>
      <c r="E243" s="802">
        <f t="shared" si="242"/>
        <v>0</v>
      </c>
      <c r="F243" s="802">
        <f t="shared" si="242"/>
        <v>0</v>
      </c>
      <c r="G243" s="775">
        <f t="shared" si="242"/>
        <v>10800000</v>
      </c>
      <c r="H243" s="836">
        <f t="shared" si="242"/>
        <v>2625000</v>
      </c>
      <c r="I243" s="774">
        <f t="shared" si="242"/>
        <v>13425000</v>
      </c>
      <c r="J243" s="802">
        <f t="shared" si="242"/>
        <v>0</v>
      </c>
      <c r="K243" s="802">
        <f>+K244</f>
        <v>0</v>
      </c>
      <c r="L243" s="775">
        <f t="shared" si="242"/>
        <v>10800000</v>
      </c>
      <c r="M243" s="836">
        <f t="shared" si="242"/>
        <v>2625000</v>
      </c>
      <c r="N243" s="820">
        <f t="shared" si="242"/>
        <v>0</v>
      </c>
      <c r="O243" s="823">
        <f t="shared" si="210"/>
        <v>0</v>
      </c>
      <c r="P243" s="821">
        <f>+P244</f>
        <v>0</v>
      </c>
      <c r="Q243" s="823">
        <f t="shared" si="211"/>
        <v>0</v>
      </c>
      <c r="R243" s="821">
        <f t="shared" si="205"/>
        <v>-10800000</v>
      </c>
      <c r="S243" s="2816"/>
      <c r="T243" s="537"/>
    </row>
    <row r="244" spans="1:20" s="877" customFormat="1" ht="12.75" customHeight="1" thickBot="1" x14ac:dyDescent="0.25">
      <c r="A244" s="2812"/>
      <c r="B244" s="887" t="s">
        <v>15</v>
      </c>
      <c r="C244" s="2818"/>
      <c r="D244" s="718">
        <f>+E244+F244+G244+H244</f>
        <v>13425000</v>
      </c>
      <c r="E244" s="888">
        <v>0</v>
      </c>
      <c r="F244" s="888">
        <v>0</v>
      </c>
      <c r="G244" s="889">
        <v>10800000</v>
      </c>
      <c r="H244" s="890">
        <v>2625000</v>
      </c>
      <c r="I244" s="718">
        <f>+J244+K244+L244+M244</f>
        <v>13425000</v>
      </c>
      <c r="J244" s="888">
        <v>0</v>
      </c>
      <c r="K244" s="888">
        <v>0</v>
      </c>
      <c r="L244" s="889">
        <v>10800000</v>
      </c>
      <c r="M244" s="890">
        <v>2625000</v>
      </c>
      <c r="N244" s="784">
        <f>J244+K244+P244</f>
        <v>0</v>
      </c>
      <c r="O244" s="891">
        <f t="shared" si="210"/>
        <v>0</v>
      </c>
      <c r="P244" s="720">
        <v>0</v>
      </c>
      <c r="Q244" s="891">
        <f t="shared" si="211"/>
        <v>0</v>
      </c>
      <c r="R244" s="786">
        <f t="shared" si="205"/>
        <v>-10800000</v>
      </c>
      <c r="S244" s="2818"/>
      <c r="T244" s="537"/>
    </row>
    <row r="245" spans="1:20" ht="28.5" customHeight="1" x14ac:dyDescent="0.2">
      <c r="A245" s="2809" t="s">
        <v>70</v>
      </c>
      <c r="B245" s="892" t="s">
        <v>336</v>
      </c>
      <c r="C245" s="676" t="s">
        <v>225</v>
      </c>
      <c r="D245" s="862"/>
      <c r="E245" s="863"/>
      <c r="F245" s="863"/>
      <c r="G245" s="863"/>
      <c r="H245" s="864"/>
      <c r="I245" s="862"/>
      <c r="J245" s="863"/>
      <c r="K245" s="863"/>
      <c r="L245" s="863"/>
      <c r="M245" s="864"/>
      <c r="N245" s="862"/>
      <c r="O245" s="865"/>
      <c r="P245" s="863"/>
      <c r="Q245" s="865"/>
      <c r="R245" s="863"/>
      <c r="S245" s="2823" t="s">
        <v>45</v>
      </c>
      <c r="T245" s="537"/>
    </row>
    <row r="246" spans="1:20" ht="13.5" customHeight="1" x14ac:dyDescent="0.2">
      <c r="A246" s="2810"/>
      <c r="B246" s="683" t="s">
        <v>3</v>
      </c>
      <c r="C246" s="684"/>
      <c r="D246" s="685">
        <f t="shared" ref="D246:H246" si="244">+D247+D250</f>
        <v>21503075</v>
      </c>
      <c r="E246" s="753">
        <f t="shared" si="244"/>
        <v>6096694</v>
      </c>
      <c r="F246" s="753">
        <f t="shared" si="244"/>
        <v>15106381</v>
      </c>
      <c r="G246" s="753">
        <f t="shared" si="244"/>
        <v>300000</v>
      </c>
      <c r="H246" s="687">
        <f t="shared" si="244"/>
        <v>0</v>
      </c>
      <c r="I246" s="685">
        <f t="shared" ref="I246:N246" si="245">+I247+I250</f>
        <v>21503075.27</v>
      </c>
      <c r="J246" s="753">
        <f t="shared" si="245"/>
        <v>6096694</v>
      </c>
      <c r="K246" s="753">
        <f>+K247+K250</f>
        <v>15106381.27</v>
      </c>
      <c r="L246" s="753">
        <f t="shared" si="245"/>
        <v>300000</v>
      </c>
      <c r="M246" s="687">
        <f t="shared" si="245"/>
        <v>0</v>
      </c>
      <c r="N246" s="685">
        <f t="shared" si="245"/>
        <v>21203075.27</v>
      </c>
      <c r="O246" s="712">
        <f t="shared" si="210"/>
        <v>98.604851957220077</v>
      </c>
      <c r="P246" s="754">
        <f>+P247+P250</f>
        <v>0</v>
      </c>
      <c r="Q246" s="712">
        <f t="shared" si="211"/>
        <v>0</v>
      </c>
      <c r="R246" s="686">
        <f t="shared" si="205"/>
        <v>-300000</v>
      </c>
      <c r="S246" s="2824"/>
      <c r="T246" s="537"/>
    </row>
    <row r="247" spans="1:20" ht="12.75" customHeight="1" x14ac:dyDescent="0.2">
      <c r="A247" s="2810"/>
      <c r="B247" s="689" t="s">
        <v>18</v>
      </c>
      <c r="C247" s="2815" t="s">
        <v>46</v>
      </c>
      <c r="D247" s="693">
        <f t="shared" ref="D247:H247" si="246">+D248+D249</f>
        <v>8945326</v>
      </c>
      <c r="E247" s="695">
        <f t="shared" si="246"/>
        <v>2000000</v>
      </c>
      <c r="F247" s="695">
        <f t="shared" si="246"/>
        <v>6645326</v>
      </c>
      <c r="G247" s="695">
        <f t="shared" si="246"/>
        <v>300000</v>
      </c>
      <c r="H247" s="744">
        <f t="shared" si="246"/>
        <v>0</v>
      </c>
      <c r="I247" s="693">
        <f t="shared" ref="I247:N247" si="247">+I248+I249</f>
        <v>8945326.5</v>
      </c>
      <c r="J247" s="695">
        <f t="shared" si="247"/>
        <v>2000000</v>
      </c>
      <c r="K247" s="695">
        <f>+K248+K249</f>
        <v>6645326.5</v>
      </c>
      <c r="L247" s="695">
        <f t="shared" si="247"/>
        <v>300000</v>
      </c>
      <c r="M247" s="745">
        <f t="shared" si="247"/>
        <v>0</v>
      </c>
      <c r="N247" s="693">
        <f t="shared" si="247"/>
        <v>8645326.5</v>
      </c>
      <c r="O247" s="694">
        <f t="shared" si="210"/>
        <v>96.646298860432807</v>
      </c>
      <c r="P247" s="744">
        <f>+P248+P249</f>
        <v>0</v>
      </c>
      <c r="Q247" s="694">
        <f t="shared" si="211"/>
        <v>0</v>
      </c>
      <c r="R247" s="695">
        <f t="shared" si="205"/>
        <v>-300000</v>
      </c>
      <c r="S247" s="2824"/>
      <c r="T247" s="537"/>
    </row>
    <row r="248" spans="1:20" ht="12.75" customHeight="1" x14ac:dyDescent="0.2">
      <c r="A248" s="2810"/>
      <c r="B248" s="696" t="s">
        <v>5</v>
      </c>
      <c r="C248" s="2816"/>
      <c r="D248" s="697">
        <f>+E248+F248+G248+H248</f>
        <v>3445326</v>
      </c>
      <c r="E248" s="733">
        <v>0</v>
      </c>
      <c r="F248" s="733">
        <v>3145326</v>
      </c>
      <c r="G248" s="733">
        <v>300000</v>
      </c>
      <c r="H248" s="735">
        <v>0</v>
      </c>
      <c r="I248" s="697">
        <f>+J248+K248+L248+M248</f>
        <v>3445326.5</v>
      </c>
      <c r="J248" s="733">
        <v>0</v>
      </c>
      <c r="K248" s="733">
        <v>3145326.5</v>
      </c>
      <c r="L248" s="733">
        <v>300000</v>
      </c>
      <c r="M248" s="736">
        <v>0</v>
      </c>
      <c r="N248" s="762">
        <f>J248+K248+P248</f>
        <v>3145326.5</v>
      </c>
      <c r="O248" s="734">
        <f t="shared" si="210"/>
        <v>91.292565638200855</v>
      </c>
      <c r="P248" s="698">
        <v>0</v>
      </c>
      <c r="Q248" s="734">
        <f t="shared" si="211"/>
        <v>0</v>
      </c>
      <c r="R248" s="733">
        <f t="shared" si="205"/>
        <v>-300000</v>
      </c>
      <c r="S248" s="2824"/>
      <c r="T248" s="537"/>
    </row>
    <row r="249" spans="1:20" ht="12.75" customHeight="1" x14ac:dyDescent="0.2">
      <c r="A249" s="2810"/>
      <c r="B249" s="855" t="s">
        <v>10</v>
      </c>
      <c r="C249" s="2816"/>
      <c r="D249" s="697">
        <f>+E249+F249+G249+H249</f>
        <v>5500000</v>
      </c>
      <c r="E249" s="733">
        <v>2000000</v>
      </c>
      <c r="F249" s="733">
        <v>3500000</v>
      </c>
      <c r="G249" s="735">
        <v>0</v>
      </c>
      <c r="H249" s="736">
        <v>0</v>
      </c>
      <c r="I249" s="697">
        <f>+J249+K249+L249+M249</f>
        <v>5500000</v>
      </c>
      <c r="J249" s="733">
        <v>2000000</v>
      </c>
      <c r="K249" s="733">
        <v>3500000</v>
      </c>
      <c r="L249" s="735">
        <v>0</v>
      </c>
      <c r="M249" s="736">
        <v>0</v>
      </c>
      <c r="N249" s="762">
        <f>J249+K249+P249</f>
        <v>5500000</v>
      </c>
      <c r="O249" s="734">
        <f t="shared" si="210"/>
        <v>100</v>
      </c>
      <c r="P249" s="735">
        <v>0</v>
      </c>
      <c r="Q249" s="735">
        <v>0</v>
      </c>
      <c r="R249" s="733">
        <f t="shared" si="205"/>
        <v>0</v>
      </c>
      <c r="S249" s="2824"/>
      <c r="T249" s="537"/>
    </row>
    <row r="250" spans="1:20" ht="12.75" customHeight="1" x14ac:dyDescent="0.2">
      <c r="A250" s="2810"/>
      <c r="B250" s="703" t="s">
        <v>13</v>
      </c>
      <c r="C250" s="2816"/>
      <c r="D250" s="704">
        <f t="shared" ref="D250:N250" si="248">+D251</f>
        <v>12557749</v>
      </c>
      <c r="E250" s="705">
        <f t="shared" si="248"/>
        <v>4096694</v>
      </c>
      <c r="F250" s="705">
        <f t="shared" si="248"/>
        <v>8461055</v>
      </c>
      <c r="G250" s="706">
        <f t="shared" si="248"/>
        <v>0</v>
      </c>
      <c r="H250" s="707">
        <f t="shared" si="248"/>
        <v>0</v>
      </c>
      <c r="I250" s="704">
        <f t="shared" si="248"/>
        <v>12557748.77</v>
      </c>
      <c r="J250" s="705">
        <f t="shared" si="248"/>
        <v>4096694</v>
      </c>
      <c r="K250" s="705">
        <f>+K251</f>
        <v>8461054.7699999996</v>
      </c>
      <c r="L250" s="706">
        <f t="shared" si="248"/>
        <v>0</v>
      </c>
      <c r="M250" s="707">
        <f t="shared" si="248"/>
        <v>0</v>
      </c>
      <c r="N250" s="704">
        <f t="shared" si="248"/>
        <v>12557748.77</v>
      </c>
      <c r="O250" s="708">
        <f t="shared" si="210"/>
        <v>99.999998168461559</v>
      </c>
      <c r="P250" s="706">
        <f>+P251</f>
        <v>0</v>
      </c>
      <c r="Q250" s="706">
        <v>0</v>
      </c>
      <c r="R250" s="705">
        <f t="shared" si="205"/>
        <v>0</v>
      </c>
      <c r="S250" s="2824"/>
      <c r="T250" s="537"/>
    </row>
    <row r="251" spans="1:20" ht="12.75" customHeight="1" x14ac:dyDescent="0.2">
      <c r="A251" s="2810"/>
      <c r="B251" s="696" t="s">
        <v>15</v>
      </c>
      <c r="C251" s="2816"/>
      <c r="D251" s="697">
        <f>++E251+F251+G251+H251</f>
        <v>12557749</v>
      </c>
      <c r="E251" s="699">
        <f>243279+3853415</f>
        <v>4096694</v>
      </c>
      <c r="F251" s="733">
        <v>8461055</v>
      </c>
      <c r="G251" s="735">
        <v>0</v>
      </c>
      <c r="H251" s="873">
        <v>0</v>
      </c>
      <c r="I251" s="697">
        <f>++J251+K251+L251+M251</f>
        <v>12557748.77</v>
      </c>
      <c r="J251" s="699">
        <f>243279+3853415</f>
        <v>4096694</v>
      </c>
      <c r="K251" s="733">
        <v>8461054.7699999996</v>
      </c>
      <c r="L251" s="735">
        <v>0</v>
      </c>
      <c r="M251" s="873">
        <v>0</v>
      </c>
      <c r="N251" s="762">
        <f>J251+K251+P251</f>
        <v>12557748.77</v>
      </c>
      <c r="O251" s="734">
        <f t="shared" si="210"/>
        <v>99.999998168461559</v>
      </c>
      <c r="P251" s="735">
        <v>0</v>
      </c>
      <c r="Q251" s="735">
        <v>0</v>
      </c>
      <c r="R251" s="733">
        <f t="shared" si="205"/>
        <v>0</v>
      </c>
      <c r="S251" s="2824"/>
      <c r="T251" s="537"/>
    </row>
    <row r="252" spans="1:20" s="726" customFormat="1" ht="12.75" customHeight="1" x14ac:dyDescent="0.2">
      <c r="A252" s="2811"/>
      <c r="B252" s="683" t="s">
        <v>17</v>
      </c>
      <c r="C252" s="684"/>
      <c r="D252" s="685">
        <f t="shared" ref="D252:H252" si="249">+D255+D253</f>
        <v>18857749</v>
      </c>
      <c r="E252" s="753">
        <f t="shared" si="249"/>
        <v>2000000</v>
      </c>
      <c r="F252" s="753">
        <f t="shared" si="249"/>
        <v>15067686</v>
      </c>
      <c r="G252" s="753">
        <f t="shared" si="249"/>
        <v>1790063</v>
      </c>
      <c r="H252" s="687">
        <f t="shared" si="249"/>
        <v>0</v>
      </c>
      <c r="I252" s="685">
        <f t="shared" ref="I252:N252" si="250">+I255+I253</f>
        <v>18857750</v>
      </c>
      <c r="J252" s="753">
        <f t="shared" ref="J252" si="251">+J255+J253</f>
        <v>2000000</v>
      </c>
      <c r="K252" s="753">
        <f>+K255+K253</f>
        <v>15067687</v>
      </c>
      <c r="L252" s="753">
        <f t="shared" si="250"/>
        <v>1790063</v>
      </c>
      <c r="M252" s="687">
        <f t="shared" si="250"/>
        <v>0</v>
      </c>
      <c r="N252" s="685">
        <f t="shared" si="250"/>
        <v>17067687</v>
      </c>
      <c r="O252" s="712">
        <f t="shared" si="210"/>
        <v>90.507552094367156</v>
      </c>
      <c r="P252" s="753">
        <f>+P255+P253</f>
        <v>0</v>
      </c>
      <c r="Q252" s="712">
        <f t="shared" si="211"/>
        <v>0</v>
      </c>
      <c r="R252" s="686">
        <f t="shared" si="205"/>
        <v>-1790063</v>
      </c>
      <c r="S252" s="2816"/>
      <c r="T252" s="537"/>
    </row>
    <row r="253" spans="1:20" s="726" customFormat="1" ht="12.75" customHeight="1" x14ac:dyDescent="0.2">
      <c r="A253" s="2811"/>
      <c r="B253" s="689" t="s">
        <v>18</v>
      </c>
      <c r="C253" s="2832" t="s">
        <v>59</v>
      </c>
      <c r="D253" s="730">
        <f t="shared" ref="D253:N253" si="252">+D254</f>
        <v>6300000</v>
      </c>
      <c r="E253" s="731">
        <f t="shared" si="252"/>
        <v>2000000</v>
      </c>
      <c r="F253" s="731">
        <f t="shared" si="252"/>
        <v>3500000</v>
      </c>
      <c r="G253" s="893">
        <f t="shared" si="252"/>
        <v>800000</v>
      </c>
      <c r="H253" s="867">
        <f t="shared" si="252"/>
        <v>0</v>
      </c>
      <c r="I253" s="730">
        <f t="shared" si="252"/>
        <v>6300000</v>
      </c>
      <c r="J253" s="731">
        <f t="shared" si="252"/>
        <v>2000000</v>
      </c>
      <c r="K253" s="731">
        <f>+K254</f>
        <v>3500000</v>
      </c>
      <c r="L253" s="893">
        <f t="shared" si="252"/>
        <v>800000</v>
      </c>
      <c r="M253" s="867">
        <f t="shared" si="252"/>
        <v>0</v>
      </c>
      <c r="N253" s="730">
        <f t="shared" si="252"/>
        <v>5500000</v>
      </c>
      <c r="O253" s="732">
        <f t="shared" si="210"/>
        <v>87.301587301587304</v>
      </c>
      <c r="P253" s="731">
        <f>+P254</f>
        <v>0</v>
      </c>
      <c r="Q253" s="732">
        <f t="shared" si="211"/>
        <v>0</v>
      </c>
      <c r="R253" s="731">
        <f t="shared" si="205"/>
        <v>-800000</v>
      </c>
      <c r="S253" s="2816"/>
      <c r="T253" s="537"/>
    </row>
    <row r="254" spans="1:20" s="726" customFormat="1" ht="12.75" customHeight="1" x14ac:dyDescent="0.2">
      <c r="A254" s="2811"/>
      <c r="B254" s="855" t="s">
        <v>10</v>
      </c>
      <c r="C254" s="2832"/>
      <c r="D254" s="697">
        <f>+E254+F254+G254+H254</f>
        <v>6300000</v>
      </c>
      <c r="E254" s="882">
        <v>2000000</v>
      </c>
      <c r="F254" s="882">
        <v>3500000</v>
      </c>
      <c r="G254" s="882">
        <v>800000</v>
      </c>
      <c r="H254" s="884">
        <v>0</v>
      </c>
      <c r="I254" s="697">
        <f>+J254+K254+L254+M254</f>
        <v>6300000</v>
      </c>
      <c r="J254" s="882">
        <v>2000000</v>
      </c>
      <c r="K254" s="882">
        <v>3500000</v>
      </c>
      <c r="L254" s="882">
        <v>800000</v>
      </c>
      <c r="M254" s="884">
        <v>0</v>
      </c>
      <c r="N254" s="762">
        <f>J254+K254+P254</f>
        <v>5500000</v>
      </c>
      <c r="O254" s="734">
        <f t="shared" si="210"/>
        <v>87.301587301587304</v>
      </c>
      <c r="P254" s="834"/>
      <c r="Q254" s="734">
        <f t="shared" si="211"/>
        <v>0</v>
      </c>
      <c r="R254" s="733">
        <f t="shared" si="205"/>
        <v>-800000</v>
      </c>
      <c r="S254" s="2816"/>
      <c r="T254" s="537"/>
    </row>
    <row r="255" spans="1:20" s="877" customFormat="1" ht="12.75" customHeight="1" x14ac:dyDescent="0.2">
      <c r="A255" s="2811"/>
      <c r="B255" s="703" t="s">
        <v>13</v>
      </c>
      <c r="C255" s="2832"/>
      <c r="D255" s="856">
        <f>+D256</f>
        <v>12557749</v>
      </c>
      <c r="E255" s="802">
        <v>0</v>
      </c>
      <c r="F255" s="776">
        <f>+F256</f>
        <v>11567686</v>
      </c>
      <c r="G255" s="776">
        <f>+G256</f>
        <v>990063</v>
      </c>
      <c r="H255" s="777">
        <f>+H256</f>
        <v>0</v>
      </c>
      <c r="I255" s="856">
        <f>+I256</f>
        <v>12557750</v>
      </c>
      <c r="J255" s="802">
        <v>0</v>
      </c>
      <c r="K255" s="776">
        <f>+K256</f>
        <v>11567687</v>
      </c>
      <c r="L255" s="776">
        <f>+L256</f>
        <v>990063</v>
      </c>
      <c r="M255" s="778">
        <f>+M256</f>
        <v>0</v>
      </c>
      <c r="N255" s="774">
        <f>+N256</f>
        <v>11567687</v>
      </c>
      <c r="O255" s="779">
        <f t="shared" si="210"/>
        <v>92.115927782917154</v>
      </c>
      <c r="P255" s="775">
        <f>+P256</f>
        <v>0</v>
      </c>
      <c r="Q255" s="779">
        <f t="shared" si="211"/>
        <v>0</v>
      </c>
      <c r="R255" s="775">
        <f t="shared" si="205"/>
        <v>-990063</v>
      </c>
      <c r="S255" s="2816"/>
      <c r="T255" s="537"/>
    </row>
    <row r="256" spans="1:20" s="726" customFormat="1" ht="12.75" customHeight="1" thickBot="1" x14ac:dyDescent="0.25">
      <c r="A256" s="2812"/>
      <c r="B256" s="780" t="s">
        <v>15</v>
      </c>
      <c r="C256" s="2833"/>
      <c r="D256" s="718">
        <f>+E256+F256+G256+H256</f>
        <v>12557749</v>
      </c>
      <c r="E256" s="719">
        <v>0</v>
      </c>
      <c r="F256" s="781">
        <v>11567686</v>
      </c>
      <c r="G256" s="781">
        <v>990063</v>
      </c>
      <c r="H256" s="782">
        <v>0</v>
      </c>
      <c r="I256" s="718">
        <f>+J256+K256+L256+M256</f>
        <v>12557750</v>
      </c>
      <c r="J256" s="719">
        <v>0</v>
      </c>
      <c r="K256" s="781">
        <v>11567687</v>
      </c>
      <c r="L256" s="781">
        <v>990063</v>
      </c>
      <c r="M256" s="783">
        <v>0</v>
      </c>
      <c r="N256" s="784">
        <f>J256+K256+P256</f>
        <v>11567687</v>
      </c>
      <c r="O256" s="785">
        <f t="shared" si="210"/>
        <v>92.115927782917154</v>
      </c>
      <c r="P256" s="781"/>
      <c r="Q256" s="785">
        <f t="shared" si="211"/>
        <v>0</v>
      </c>
      <c r="R256" s="786">
        <f t="shared" si="205"/>
        <v>-990063</v>
      </c>
      <c r="S256" s="2818"/>
      <c r="T256" s="537"/>
    </row>
    <row r="257" spans="1:20" ht="26.25" customHeight="1" x14ac:dyDescent="0.2">
      <c r="A257" s="2809" t="s">
        <v>72</v>
      </c>
      <c r="B257" s="746" t="s">
        <v>74</v>
      </c>
      <c r="C257" s="676" t="s">
        <v>225</v>
      </c>
      <c r="D257" s="862"/>
      <c r="E257" s="863"/>
      <c r="F257" s="863"/>
      <c r="G257" s="863"/>
      <c r="H257" s="864"/>
      <c r="I257" s="862"/>
      <c r="J257" s="863"/>
      <c r="K257" s="863"/>
      <c r="L257" s="863"/>
      <c r="M257" s="864"/>
      <c r="N257" s="862"/>
      <c r="O257" s="865"/>
      <c r="P257" s="863"/>
      <c r="Q257" s="865"/>
      <c r="R257" s="863"/>
      <c r="S257" s="2823" t="s">
        <v>45</v>
      </c>
      <c r="T257" s="537"/>
    </row>
    <row r="258" spans="1:20" ht="12.75" customHeight="1" x14ac:dyDescent="0.2">
      <c r="A258" s="2810"/>
      <c r="B258" s="565" t="s">
        <v>3</v>
      </c>
      <c r="C258" s="566"/>
      <c r="D258" s="817">
        <f t="shared" ref="D258" si="253">+D259+D261</f>
        <v>23800000</v>
      </c>
      <c r="E258" s="815">
        <f>+E259+E261</f>
        <v>644308</v>
      </c>
      <c r="F258" s="815">
        <f>+F259+F261</f>
        <v>7988162</v>
      </c>
      <c r="G258" s="815">
        <f>+G259+G261</f>
        <v>15167530</v>
      </c>
      <c r="H258" s="852">
        <f>+H259+H261</f>
        <v>0</v>
      </c>
      <c r="I258" s="817">
        <f t="shared" ref="I258" si="254">+I259+I261</f>
        <v>23799999.620000001</v>
      </c>
      <c r="J258" s="815">
        <f>+J259+J261</f>
        <v>644308</v>
      </c>
      <c r="K258" s="815">
        <f>+K259+K261</f>
        <v>7988161.6200000001</v>
      </c>
      <c r="L258" s="815">
        <f>+L259+L261</f>
        <v>15167530</v>
      </c>
      <c r="M258" s="852">
        <f>+M259+M261</f>
        <v>0</v>
      </c>
      <c r="N258" s="817">
        <f>+N259+N261</f>
        <v>9315487.4500000011</v>
      </c>
      <c r="O258" s="818">
        <f t="shared" si="210"/>
        <v>39.140703571428574</v>
      </c>
      <c r="P258" s="815">
        <f>+P259+P261</f>
        <v>683017.83</v>
      </c>
      <c r="Q258" s="818">
        <f t="shared" si="211"/>
        <v>4.5031579301310094</v>
      </c>
      <c r="R258" s="815">
        <f t="shared" si="205"/>
        <v>-14484512.17</v>
      </c>
      <c r="S258" s="2824"/>
      <c r="T258" s="537"/>
    </row>
    <row r="259" spans="1:20" ht="12.75" customHeight="1" x14ac:dyDescent="0.2">
      <c r="A259" s="2810"/>
      <c r="B259" s="819" t="s">
        <v>18</v>
      </c>
      <c r="C259" s="2771" t="s">
        <v>46</v>
      </c>
      <c r="D259" s="820">
        <f t="shared" ref="D259:I259" si="255">+D260</f>
        <v>3400000</v>
      </c>
      <c r="E259" s="853">
        <f>+E260</f>
        <v>0</v>
      </c>
      <c r="F259" s="821">
        <f>+F260</f>
        <v>197</v>
      </c>
      <c r="G259" s="821">
        <f>+G260</f>
        <v>3399803</v>
      </c>
      <c r="H259" s="854">
        <f>+H260</f>
        <v>0</v>
      </c>
      <c r="I259" s="820">
        <f t="shared" si="255"/>
        <v>3399999.3</v>
      </c>
      <c r="J259" s="853">
        <f>+J260</f>
        <v>0</v>
      </c>
      <c r="K259" s="821">
        <f>+K260</f>
        <v>196.3</v>
      </c>
      <c r="L259" s="821">
        <f>+L260</f>
        <v>3399803</v>
      </c>
      <c r="M259" s="854">
        <f>+M260</f>
        <v>0</v>
      </c>
      <c r="N259" s="820">
        <f>+N260</f>
        <v>1481.1299999999999</v>
      </c>
      <c r="O259" s="823">
        <f t="shared" si="210"/>
        <v>4.3562647058823525E-2</v>
      </c>
      <c r="P259" s="821">
        <f>+P260</f>
        <v>1284.83</v>
      </c>
      <c r="Q259" s="823">
        <f t="shared" si="211"/>
        <v>3.779130731986529E-2</v>
      </c>
      <c r="R259" s="821">
        <f t="shared" si="205"/>
        <v>-3398518.17</v>
      </c>
      <c r="S259" s="2824"/>
      <c r="T259" s="537"/>
    </row>
    <row r="260" spans="1:20" ht="12.75" customHeight="1" x14ac:dyDescent="0.2">
      <c r="A260" s="2810"/>
      <c r="B260" s="696" t="s">
        <v>5</v>
      </c>
      <c r="C260" s="2816"/>
      <c r="D260" s="697">
        <f>+E260+F260+G260+H260</f>
        <v>3400000</v>
      </c>
      <c r="E260" s="698">
        <v>0</v>
      </c>
      <c r="F260" s="733">
        <v>197</v>
      </c>
      <c r="G260" s="733">
        <v>3399803</v>
      </c>
      <c r="H260" s="736">
        <v>0</v>
      </c>
      <c r="I260" s="697">
        <f>+J260+K260+L260+M260</f>
        <v>3399999.3</v>
      </c>
      <c r="J260" s="698">
        <v>0</v>
      </c>
      <c r="K260" s="733">
        <v>196.3</v>
      </c>
      <c r="L260" s="733">
        <v>3399803</v>
      </c>
      <c r="M260" s="736">
        <v>0</v>
      </c>
      <c r="N260" s="762">
        <f>J260+K260+P260</f>
        <v>1481.1299999999999</v>
      </c>
      <c r="O260" s="734">
        <f t="shared" si="210"/>
        <v>4.3562647058823525E-2</v>
      </c>
      <c r="P260" s="699">
        <v>1284.83</v>
      </c>
      <c r="Q260" s="734">
        <f t="shared" si="211"/>
        <v>3.779130731986529E-2</v>
      </c>
      <c r="R260" s="733">
        <f t="shared" si="205"/>
        <v>-3398518.17</v>
      </c>
      <c r="S260" s="2824"/>
      <c r="T260" s="537"/>
    </row>
    <row r="261" spans="1:20" ht="12.75" customHeight="1" x14ac:dyDescent="0.2">
      <c r="A261" s="2810"/>
      <c r="B261" s="703" t="s">
        <v>13</v>
      </c>
      <c r="C261" s="2816"/>
      <c r="D261" s="704">
        <f t="shared" ref="D261:I261" si="256">+D262</f>
        <v>20400000</v>
      </c>
      <c r="E261" s="705">
        <f>+E262</f>
        <v>644308</v>
      </c>
      <c r="F261" s="705">
        <f>+F262</f>
        <v>7987965</v>
      </c>
      <c r="G261" s="705">
        <f>+G262</f>
        <v>11767727</v>
      </c>
      <c r="H261" s="707">
        <f>+H262</f>
        <v>0</v>
      </c>
      <c r="I261" s="704">
        <f t="shared" si="256"/>
        <v>20400000.32</v>
      </c>
      <c r="J261" s="705">
        <f>+J262</f>
        <v>644308</v>
      </c>
      <c r="K261" s="705">
        <f>+K262</f>
        <v>7987965.3200000003</v>
      </c>
      <c r="L261" s="705">
        <f>+L262</f>
        <v>11767727</v>
      </c>
      <c r="M261" s="707">
        <f>+M262</f>
        <v>0</v>
      </c>
      <c r="N261" s="704">
        <f>+N262</f>
        <v>9314006.3200000003</v>
      </c>
      <c r="O261" s="708">
        <f t="shared" si="210"/>
        <v>45.6568937254902</v>
      </c>
      <c r="P261" s="705">
        <f>+P262</f>
        <v>681733</v>
      </c>
      <c r="Q261" s="708">
        <f t="shared" si="211"/>
        <v>5.7932428242089573</v>
      </c>
      <c r="R261" s="705">
        <f t="shared" si="205"/>
        <v>-11085994</v>
      </c>
      <c r="S261" s="2824"/>
      <c r="T261" s="537"/>
    </row>
    <row r="262" spans="1:20" ht="12.75" customHeight="1" x14ac:dyDescent="0.2">
      <c r="A262" s="2810"/>
      <c r="B262" s="696" t="s">
        <v>15</v>
      </c>
      <c r="C262" s="2816"/>
      <c r="D262" s="697">
        <f>++E262+F262+G262+H262</f>
        <v>20400000</v>
      </c>
      <c r="E262" s="699">
        <f>382047+262261</f>
        <v>644308</v>
      </c>
      <c r="F262" s="733">
        <v>7987965</v>
      </c>
      <c r="G262" s="733">
        <v>11767727</v>
      </c>
      <c r="H262" s="873">
        <v>0</v>
      </c>
      <c r="I262" s="697">
        <f>++J262+K262+L262+M262</f>
        <v>20400000.32</v>
      </c>
      <c r="J262" s="699">
        <f>382047+262261</f>
        <v>644308</v>
      </c>
      <c r="K262" s="733">
        <v>7987965.3200000003</v>
      </c>
      <c r="L262" s="733">
        <v>11767727</v>
      </c>
      <c r="M262" s="873">
        <v>0</v>
      </c>
      <c r="N262" s="762">
        <f>J262+K262+P262</f>
        <v>9314006.3200000003</v>
      </c>
      <c r="O262" s="734">
        <f t="shared" si="210"/>
        <v>45.6568937254902</v>
      </c>
      <c r="P262" s="699">
        <v>681733</v>
      </c>
      <c r="Q262" s="734">
        <f t="shared" si="211"/>
        <v>5.7932428242089573</v>
      </c>
      <c r="R262" s="733">
        <f t="shared" si="205"/>
        <v>-11085994</v>
      </c>
      <c r="S262" s="2824"/>
      <c r="T262" s="537"/>
    </row>
    <row r="263" spans="1:20" s="726" customFormat="1" ht="12.75" customHeight="1" x14ac:dyDescent="0.2">
      <c r="A263" s="2811"/>
      <c r="B263" s="565" t="s">
        <v>17</v>
      </c>
      <c r="C263" s="566"/>
      <c r="D263" s="826">
        <f>+D264</f>
        <v>20400000</v>
      </c>
      <c r="E263" s="827">
        <v>0</v>
      </c>
      <c r="F263" s="827">
        <f t="shared" ref="F263:H264" si="257">+F264</f>
        <v>0</v>
      </c>
      <c r="G263" s="828">
        <f t="shared" si="257"/>
        <v>19300000</v>
      </c>
      <c r="H263" s="829">
        <f t="shared" si="257"/>
        <v>1100000</v>
      </c>
      <c r="I263" s="826">
        <f>+I264</f>
        <v>20400000</v>
      </c>
      <c r="J263" s="827">
        <v>0</v>
      </c>
      <c r="K263" s="827">
        <f>+K264</f>
        <v>0</v>
      </c>
      <c r="L263" s="828">
        <f t="shared" ref="L263:N264" si="258">+L264</f>
        <v>19300000</v>
      </c>
      <c r="M263" s="829">
        <f t="shared" si="258"/>
        <v>1100000</v>
      </c>
      <c r="N263" s="817">
        <f t="shared" ref="N263" si="259">+N264+N266</f>
        <v>0</v>
      </c>
      <c r="O263" s="818">
        <f t="shared" si="210"/>
        <v>0</v>
      </c>
      <c r="P263" s="815">
        <f>+P264</f>
        <v>0</v>
      </c>
      <c r="Q263" s="818">
        <f t="shared" si="211"/>
        <v>0</v>
      </c>
      <c r="R263" s="815">
        <f t="shared" ref="R263:R326" si="260">+P263-L263</f>
        <v>-19300000</v>
      </c>
      <c r="S263" s="2816"/>
      <c r="T263" s="537"/>
    </row>
    <row r="264" spans="1:20" s="877" customFormat="1" ht="12.75" customHeight="1" x14ac:dyDescent="0.2">
      <c r="A264" s="2811"/>
      <c r="B264" s="703" t="s">
        <v>13</v>
      </c>
      <c r="C264" s="2771" t="s">
        <v>42</v>
      </c>
      <c r="D264" s="774">
        <f>+D265</f>
        <v>20400000</v>
      </c>
      <c r="E264" s="802">
        <v>0</v>
      </c>
      <c r="F264" s="802">
        <f t="shared" si="257"/>
        <v>0</v>
      </c>
      <c r="G264" s="775">
        <f t="shared" si="257"/>
        <v>19300000</v>
      </c>
      <c r="H264" s="836">
        <f t="shared" si="257"/>
        <v>1100000</v>
      </c>
      <c r="I264" s="774">
        <f>+I265</f>
        <v>20400000</v>
      </c>
      <c r="J264" s="802">
        <v>0</v>
      </c>
      <c r="K264" s="802">
        <f>+K265</f>
        <v>0</v>
      </c>
      <c r="L264" s="775">
        <f t="shared" si="258"/>
        <v>19300000</v>
      </c>
      <c r="M264" s="836">
        <f t="shared" si="258"/>
        <v>1100000</v>
      </c>
      <c r="N264" s="820">
        <f t="shared" si="258"/>
        <v>0</v>
      </c>
      <c r="O264" s="823">
        <f t="shared" si="210"/>
        <v>0</v>
      </c>
      <c r="P264" s="821">
        <f>+P265</f>
        <v>0</v>
      </c>
      <c r="Q264" s="823">
        <f t="shared" si="211"/>
        <v>0</v>
      </c>
      <c r="R264" s="821">
        <f t="shared" si="260"/>
        <v>-19300000</v>
      </c>
      <c r="S264" s="2816"/>
      <c r="T264" s="537"/>
    </row>
    <row r="265" spans="1:20" s="726" customFormat="1" ht="12.75" customHeight="1" thickBot="1" x14ac:dyDescent="0.25">
      <c r="A265" s="2812"/>
      <c r="B265" s="780" t="s">
        <v>15</v>
      </c>
      <c r="C265" s="2818"/>
      <c r="D265" s="718">
        <f>++E265+F265+G265+H265</f>
        <v>20400000</v>
      </c>
      <c r="E265" s="719">
        <v>0</v>
      </c>
      <c r="F265" s="894">
        <v>0</v>
      </c>
      <c r="G265" s="781">
        <v>19300000</v>
      </c>
      <c r="H265" s="895">
        <v>1100000</v>
      </c>
      <c r="I265" s="718">
        <f>++J265+K265+L265+M265</f>
        <v>20400000</v>
      </c>
      <c r="J265" s="719">
        <v>0</v>
      </c>
      <c r="K265" s="894">
        <v>0</v>
      </c>
      <c r="L265" s="781">
        <v>19300000</v>
      </c>
      <c r="M265" s="895">
        <v>1100000</v>
      </c>
      <c r="N265" s="762">
        <f>J265+K265+P265</f>
        <v>0</v>
      </c>
      <c r="O265" s="734">
        <f t="shared" si="210"/>
        <v>0</v>
      </c>
      <c r="P265" s="699">
        <v>0</v>
      </c>
      <c r="Q265" s="734">
        <f t="shared" si="211"/>
        <v>0</v>
      </c>
      <c r="R265" s="733">
        <f t="shared" si="260"/>
        <v>-19300000</v>
      </c>
      <c r="S265" s="2818"/>
      <c r="T265" s="537"/>
    </row>
    <row r="266" spans="1:20" ht="26.25" customHeight="1" x14ac:dyDescent="0.2">
      <c r="A266" s="2809" t="s">
        <v>73</v>
      </c>
      <c r="B266" s="746" t="s">
        <v>76</v>
      </c>
      <c r="C266" s="676" t="s">
        <v>225</v>
      </c>
      <c r="D266" s="680"/>
      <c r="E266" s="678"/>
      <c r="F266" s="678"/>
      <c r="G266" s="678"/>
      <c r="H266" s="679"/>
      <c r="I266" s="680"/>
      <c r="J266" s="678"/>
      <c r="K266" s="678"/>
      <c r="L266" s="678"/>
      <c r="M266" s="679"/>
      <c r="N266" s="680"/>
      <c r="O266" s="681"/>
      <c r="P266" s="678"/>
      <c r="Q266" s="681"/>
      <c r="R266" s="678"/>
      <c r="S266" s="2823" t="s">
        <v>45</v>
      </c>
      <c r="T266" s="537"/>
    </row>
    <row r="267" spans="1:20" ht="12.75" customHeight="1" x14ac:dyDescent="0.2">
      <c r="A267" s="2810"/>
      <c r="B267" s="565" t="s">
        <v>3</v>
      </c>
      <c r="C267" s="566"/>
      <c r="D267" s="817">
        <f t="shared" ref="D267:H267" si="261">+D268+D270</f>
        <v>15750000</v>
      </c>
      <c r="E267" s="815">
        <f t="shared" si="261"/>
        <v>768834</v>
      </c>
      <c r="F267" s="815">
        <f t="shared" si="261"/>
        <v>166758</v>
      </c>
      <c r="G267" s="815">
        <f t="shared" si="261"/>
        <v>14814408</v>
      </c>
      <c r="H267" s="852">
        <f t="shared" si="261"/>
        <v>0</v>
      </c>
      <c r="I267" s="817">
        <f t="shared" ref="I267:N267" si="262">+I268+I270</f>
        <v>15749999.790000001</v>
      </c>
      <c r="J267" s="815">
        <f t="shared" si="262"/>
        <v>768834</v>
      </c>
      <c r="K267" s="815">
        <f>+K268+K270</f>
        <v>166757.79</v>
      </c>
      <c r="L267" s="815">
        <f t="shared" si="262"/>
        <v>14814408</v>
      </c>
      <c r="M267" s="852">
        <f t="shared" si="262"/>
        <v>0</v>
      </c>
      <c r="N267" s="817">
        <f t="shared" si="262"/>
        <v>1052793.79</v>
      </c>
      <c r="O267" s="818">
        <f t="shared" si="210"/>
        <v>6.6844050158730157</v>
      </c>
      <c r="P267" s="815">
        <f>+P268+P270</f>
        <v>117202</v>
      </c>
      <c r="Q267" s="818">
        <f t="shared" si="211"/>
        <v>0.7911352245732669</v>
      </c>
      <c r="R267" s="815">
        <f t="shared" si="260"/>
        <v>-14697206</v>
      </c>
      <c r="S267" s="2824"/>
      <c r="T267" s="537"/>
    </row>
    <row r="268" spans="1:20" ht="13.5" customHeight="1" x14ac:dyDescent="0.2">
      <c r="A268" s="2810"/>
      <c r="B268" s="819" t="s">
        <v>18</v>
      </c>
      <c r="C268" s="2771" t="s">
        <v>46</v>
      </c>
      <c r="D268" s="820">
        <f t="shared" ref="D268:N268" si="263">+D269</f>
        <v>4125000</v>
      </c>
      <c r="E268" s="821">
        <f t="shared" si="263"/>
        <v>241195</v>
      </c>
      <c r="F268" s="821">
        <f t="shared" si="263"/>
        <v>43675</v>
      </c>
      <c r="G268" s="821">
        <f t="shared" si="263"/>
        <v>3840130</v>
      </c>
      <c r="H268" s="854">
        <f t="shared" si="263"/>
        <v>0</v>
      </c>
      <c r="I268" s="820">
        <f t="shared" si="263"/>
        <v>4124999.66</v>
      </c>
      <c r="J268" s="821">
        <f t="shared" si="263"/>
        <v>241195</v>
      </c>
      <c r="K268" s="821">
        <f>+K269</f>
        <v>43674.66</v>
      </c>
      <c r="L268" s="821">
        <f t="shared" si="263"/>
        <v>3840130</v>
      </c>
      <c r="M268" s="854">
        <f t="shared" si="263"/>
        <v>0</v>
      </c>
      <c r="N268" s="820">
        <f t="shared" si="263"/>
        <v>315253.66000000003</v>
      </c>
      <c r="O268" s="823">
        <f t="shared" ref="O268:O331" si="264">N268/D268*100</f>
        <v>7.6425129696969698</v>
      </c>
      <c r="P268" s="821">
        <f>+P269</f>
        <v>30384</v>
      </c>
      <c r="Q268" s="823">
        <f t="shared" ref="Q268:Q323" si="265">P268/G268*100</f>
        <v>0.79122321379744964</v>
      </c>
      <c r="R268" s="821">
        <f t="shared" si="260"/>
        <v>-3809746</v>
      </c>
      <c r="S268" s="2824"/>
      <c r="T268" s="537"/>
    </row>
    <row r="269" spans="1:20" ht="12" customHeight="1" x14ac:dyDescent="0.2">
      <c r="A269" s="2810"/>
      <c r="B269" s="696" t="s">
        <v>5</v>
      </c>
      <c r="C269" s="2771"/>
      <c r="D269" s="697">
        <f>+E269+F269+G269+H269</f>
        <v>4125000</v>
      </c>
      <c r="E269" s="699">
        <f>82459+158736</f>
        <v>241195</v>
      </c>
      <c r="F269" s="733">
        <v>43675</v>
      </c>
      <c r="G269" s="733">
        <v>3840130</v>
      </c>
      <c r="H269" s="736">
        <v>0</v>
      </c>
      <c r="I269" s="697">
        <f>+J269+K269+L269+M269</f>
        <v>4124999.66</v>
      </c>
      <c r="J269" s="699">
        <f>82459+158736</f>
        <v>241195</v>
      </c>
      <c r="K269" s="733">
        <v>43674.66</v>
      </c>
      <c r="L269" s="733">
        <v>3840130</v>
      </c>
      <c r="M269" s="736">
        <v>0</v>
      </c>
      <c r="N269" s="762">
        <f>J269+K269+P269</f>
        <v>315253.66000000003</v>
      </c>
      <c r="O269" s="734">
        <f t="shared" si="264"/>
        <v>7.6425129696969698</v>
      </c>
      <c r="P269" s="699">
        <v>30384</v>
      </c>
      <c r="Q269" s="734">
        <f t="shared" si="265"/>
        <v>0.79122321379744964</v>
      </c>
      <c r="R269" s="733">
        <f t="shared" si="260"/>
        <v>-3809746</v>
      </c>
      <c r="S269" s="2824"/>
      <c r="T269" s="537"/>
    </row>
    <row r="270" spans="1:20" ht="12.75" customHeight="1" x14ac:dyDescent="0.2">
      <c r="A270" s="2810"/>
      <c r="B270" s="703" t="s">
        <v>13</v>
      </c>
      <c r="C270" s="2771"/>
      <c r="D270" s="704">
        <f t="shared" ref="D270:N270" si="266">+D271</f>
        <v>11625000</v>
      </c>
      <c r="E270" s="705">
        <f t="shared" si="266"/>
        <v>527639</v>
      </c>
      <c r="F270" s="705">
        <f t="shared" si="266"/>
        <v>123083</v>
      </c>
      <c r="G270" s="705">
        <f t="shared" si="266"/>
        <v>10974278</v>
      </c>
      <c r="H270" s="707">
        <f t="shared" si="266"/>
        <v>0</v>
      </c>
      <c r="I270" s="704">
        <f t="shared" si="266"/>
        <v>11625000.130000001</v>
      </c>
      <c r="J270" s="705">
        <f t="shared" si="266"/>
        <v>527639</v>
      </c>
      <c r="K270" s="705">
        <f>+K271</f>
        <v>123083.13</v>
      </c>
      <c r="L270" s="705">
        <f t="shared" si="266"/>
        <v>10974278</v>
      </c>
      <c r="M270" s="707">
        <f t="shared" si="266"/>
        <v>0</v>
      </c>
      <c r="N270" s="704">
        <f t="shared" si="266"/>
        <v>737540.13</v>
      </c>
      <c r="O270" s="708">
        <f t="shared" si="264"/>
        <v>6.3444312258064519</v>
      </c>
      <c r="P270" s="705">
        <f>+P271</f>
        <v>86818</v>
      </c>
      <c r="Q270" s="708">
        <f t="shared" si="265"/>
        <v>0.79110443529861374</v>
      </c>
      <c r="R270" s="705">
        <f t="shared" si="260"/>
        <v>-10887460</v>
      </c>
      <c r="S270" s="2816"/>
      <c r="T270" s="537"/>
    </row>
    <row r="271" spans="1:20" ht="12" customHeight="1" x14ac:dyDescent="0.2">
      <c r="A271" s="2810"/>
      <c r="B271" s="696" t="s">
        <v>15</v>
      </c>
      <c r="C271" s="2771"/>
      <c r="D271" s="697">
        <f>+E271+F271+G271+H271</f>
        <v>11625000</v>
      </c>
      <c r="E271" s="699">
        <f>74075+453564</f>
        <v>527639</v>
      </c>
      <c r="F271" s="733">
        <v>123083</v>
      </c>
      <c r="G271" s="733">
        <v>10974278</v>
      </c>
      <c r="H271" s="736">
        <v>0</v>
      </c>
      <c r="I271" s="697">
        <f>+J271+K271+L271+M271</f>
        <v>11625000.130000001</v>
      </c>
      <c r="J271" s="699">
        <f>74075+453564</f>
        <v>527639</v>
      </c>
      <c r="K271" s="733">
        <v>123083.13</v>
      </c>
      <c r="L271" s="733">
        <v>10974278</v>
      </c>
      <c r="M271" s="736">
        <v>0</v>
      </c>
      <c r="N271" s="762">
        <f>J271+K271+P271</f>
        <v>737540.13</v>
      </c>
      <c r="O271" s="734">
        <f t="shared" si="264"/>
        <v>6.3444312258064519</v>
      </c>
      <c r="P271" s="699">
        <v>86818</v>
      </c>
      <c r="Q271" s="734">
        <f t="shared" si="265"/>
        <v>0.79110443529861374</v>
      </c>
      <c r="R271" s="733">
        <f t="shared" si="260"/>
        <v>-10887460</v>
      </c>
      <c r="S271" s="2816"/>
      <c r="T271" s="537"/>
    </row>
    <row r="272" spans="1:20" s="726" customFormat="1" ht="12.75" customHeight="1" x14ac:dyDescent="0.2">
      <c r="A272" s="2810"/>
      <c r="B272" s="565" t="s">
        <v>17</v>
      </c>
      <c r="C272" s="566"/>
      <c r="D272" s="826">
        <f>+D273</f>
        <v>11625000</v>
      </c>
      <c r="E272" s="827">
        <v>0</v>
      </c>
      <c r="F272" s="827">
        <f t="shared" ref="F272:H273" si="267">+F273</f>
        <v>0</v>
      </c>
      <c r="G272" s="828">
        <f t="shared" si="267"/>
        <v>9125000</v>
      </c>
      <c r="H272" s="829">
        <f t="shared" si="267"/>
        <v>2500000</v>
      </c>
      <c r="I272" s="826">
        <f>+I273</f>
        <v>11625000</v>
      </c>
      <c r="J272" s="827">
        <v>0</v>
      </c>
      <c r="K272" s="827">
        <f>+K273</f>
        <v>0</v>
      </c>
      <c r="L272" s="828">
        <f t="shared" ref="L272:M273" si="268">+L273</f>
        <v>9125000</v>
      </c>
      <c r="M272" s="829">
        <f t="shared" si="268"/>
        <v>2500000</v>
      </c>
      <c r="N272" s="826">
        <f>+N273</f>
        <v>0</v>
      </c>
      <c r="O272" s="830">
        <f t="shared" si="264"/>
        <v>0</v>
      </c>
      <c r="P272" s="828">
        <f>+P273</f>
        <v>0</v>
      </c>
      <c r="Q272" s="830">
        <f t="shared" si="265"/>
        <v>0</v>
      </c>
      <c r="R272" s="828">
        <f t="shared" si="260"/>
        <v>-9125000</v>
      </c>
      <c r="S272" s="2816"/>
      <c r="T272" s="537"/>
    </row>
    <row r="273" spans="1:20" s="877" customFormat="1" ht="12.75" customHeight="1" x14ac:dyDescent="0.2">
      <c r="A273" s="2810"/>
      <c r="B273" s="703" t="s">
        <v>13</v>
      </c>
      <c r="C273" s="2771" t="s">
        <v>42</v>
      </c>
      <c r="D273" s="774">
        <f>+D274</f>
        <v>11625000</v>
      </c>
      <c r="E273" s="802">
        <v>0</v>
      </c>
      <c r="F273" s="802">
        <f t="shared" si="267"/>
        <v>0</v>
      </c>
      <c r="G273" s="775">
        <f t="shared" si="267"/>
        <v>9125000</v>
      </c>
      <c r="H273" s="836">
        <f t="shared" si="267"/>
        <v>2500000</v>
      </c>
      <c r="I273" s="774">
        <f>+I274</f>
        <v>11625000</v>
      </c>
      <c r="J273" s="802">
        <v>0</v>
      </c>
      <c r="K273" s="802">
        <f>+K274</f>
        <v>0</v>
      </c>
      <c r="L273" s="775">
        <f t="shared" si="268"/>
        <v>9125000</v>
      </c>
      <c r="M273" s="836">
        <f t="shared" si="268"/>
        <v>2500000</v>
      </c>
      <c r="N273" s="774">
        <f>+N274</f>
        <v>0</v>
      </c>
      <c r="O273" s="779">
        <f t="shared" si="264"/>
        <v>0</v>
      </c>
      <c r="P273" s="775">
        <f>+P274</f>
        <v>0</v>
      </c>
      <c r="Q273" s="779">
        <f t="shared" si="265"/>
        <v>0</v>
      </c>
      <c r="R273" s="775">
        <f t="shared" si="260"/>
        <v>-9125000</v>
      </c>
      <c r="S273" s="2816"/>
      <c r="T273" s="537"/>
    </row>
    <row r="274" spans="1:20" s="726" customFormat="1" ht="12.75" customHeight="1" thickBot="1" x14ac:dyDescent="0.25">
      <c r="A274" s="2819"/>
      <c r="B274" s="780" t="s">
        <v>15</v>
      </c>
      <c r="C274" s="2818"/>
      <c r="D274" s="718">
        <f>+E274+F274+G274+H274</f>
        <v>11625000</v>
      </c>
      <c r="E274" s="719">
        <v>0</v>
      </c>
      <c r="F274" s="894">
        <v>0</v>
      </c>
      <c r="G274" s="781">
        <v>9125000</v>
      </c>
      <c r="H274" s="895">
        <v>2500000</v>
      </c>
      <c r="I274" s="718">
        <f>+J274+K274+L274+M274</f>
        <v>11625000</v>
      </c>
      <c r="J274" s="719">
        <v>0</v>
      </c>
      <c r="K274" s="894">
        <v>0</v>
      </c>
      <c r="L274" s="781">
        <v>9125000</v>
      </c>
      <c r="M274" s="895">
        <v>2500000</v>
      </c>
      <c r="N274" s="784">
        <f>J274+K274+P274</f>
        <v>0</v>
      </c>
      <c r="O274" s="785">
        <f t="shared" si="264"/>
        <v>0</v>
      </c>
      <c r="P274" s="781">
        <v>0</v>
      </c>
      <c r="Q274" s="785">
        <f t="shared" si="265"/>
        <v>0</v>
      </c>
      <c r="R274" s="786">
        <f t="shared" si="260"/>
        <v>-9125000</v>
      </c>
      <c r="S274" s="2818"/>
      <c r="T274" s="537"/>
    </row>
    <row r="275" spans="1:20" ht="27.75" customHeight="1" x14ac:dyDescent="0.2">
      <c r="A275" s="2809" t="s">
        <v>75</v>
      </c>
      <c r="B275" s="746" t="s">
        <v>78</v>
      </c>
      <c r="C275" s="676" t="s">
        <v>225</v>
      </c>
      <c r="D275" s="680"/>
      <c r="E275" s="678"/>
      <c r="F275" s="678"/>
      <c r="G275" s="678"/>
      <c r="H275" s="679"/>
      <c r="I275" s="680"/>
      <c r="J275" s="678"/>
      <c r="K275" s="678"/>
      <c r="L275" s="678"/>
      <c r="M275" s="679"/>
      <c r="N275" s="680"/>
      <c r="O275" s="681"/>
      <c r="P275" s="678"/>
      <c r="Q275" s="681"/>
      <c r="R275" s="678"/>
      <c r="S275" s="2823" t="s">
        <v>45</v>
      </c>
      <c r="T275" s="537"/>
    </row>
    <row r="276" spans="1:20" ht="13.5" customHeight="1" x14ac:dyDescent="0.2">
      <c r="A276" s="2810"/>
      <c r="B276" s="565" t="s">
        <v>3</v>
      </c>
      <c r="C276" s="566"/>
      <c r="D276" s="817">
        <f t="shared" ref="D276:H276" si="269">+D277+D279</f>
        <v>13148695</v>
      </c>
      <c r="E276" s="815">
        <f t="shared" si="269"/>
        <v>6027674</v>
      </c>
      <c r="F276" s="815">
        <f t="shared" si="269"/>
        <v>7121021</v>
      </c>
      <c r="G276" s="851">
        <f t="shared" si="269"/>
        <v>0</v>
      </c>
      <c r="H276" s="852">
        <f t="shared" si="269"/>
        <v>0</v>
      </c>
      <c r="I276" s="817">
        <f t="shared" ref="I276:N276" si="270">+I277+I279</f>
        <v>13148695.08</v>
      </c>
      <c r="J276" s="815">
        <f t="shared" si="270"/>
        <v>6027674</v>
      </c>
      <c r="K276" s="815">
        <f>+K277+K279</f>
        <v>7121021.0799999991</v>
      </c>
      <c r="L276" s="851">
        <f t="shared" si="270"/>
        <v>0</v>
      </c>
      <c r="M276" s="852">
        <f t="shared" si="270"/>
        <v>0</v>
      </c>
      <c r="N276" s="817">
        <f t="shared" si="270"/>
        <v>13148695.08</v>
      </c>
      <c r="O276" s="818">
        <f t="shared" si="264"/>
        <v>100.0000006084254</v>
      </c>
      <c r="P276" s="851">
        <f>+P277+P279</f>
        <v>0</v>
      </c>
      <c r="Q276" s="851">
        <v>0</v>
      </c>
      <c r="R276" s="815">
        <f t="shared" si="260"/>
        <v>0</v>
      </c>
      <c r="S276" s="2824"/>
      <c r="T276" s="537"/>
    </row>
    <row r="277" spans="1:20" ht="13.5" customHeight="1" x14ac:dyDescent="0.2">
      <c r="A277" s="2810"/>
      <c r="B277" s="819" t="s">
        <v>18</v>
      </c>
      <c r="C277" s="2771" t="s">
        <v>46</v>
      </c>
      <c r="D277" s="820">
        <f t="shared" ref="D277:N277" si="271">+D278</f>
        <v>217585</v>
      </c>
      <c r="E277" s="821">
        <f t="shared" si="271"/>
        <v>41074</v>
      </c>
      <c r="F277" s="821">
        <f t="shared" si="271"/>
        <v>176511</v>
      </c>
      <c r="G277" s="853">
        <f t="shared" si="271"/>
        <v>0</v>
      </c>
      <c r="H277" s="854">
        <f t="shared" si="271"/>
        <v>0</v>
      </c>
      <c r="I277" s="820">
        <f t="shared" si="271"/>
        <v>217585.31</v>
      </c>
      <c r="J277" s="821">
        <f t="shared" si="271"/>
        <v>41074</v>
      </c>
      <c r="K277" s="821">
        <f>+K278</f>
        <v>176511.31</v>
      </c>
      <c r="L277" s="853">
        <f t="shared" si="271"/>
        <v>0</v>
      </c>
      <c r="M277" s="854">
        <f t="shared" si="271"/>
        <v>0</v>
      </c>
      <c r="N277" s="820">
        <f t="shared" si="271"/>
        <v>217585.31</v>
      </c>
      <c r="O277" s="823">
        <f t="shared" si="264"/>
        <v>100.00014247305651</v>
      </c>
      <c r="P277" s="853">
        <f>+P278</f>
        <v>0</v>
      </c>
      <c r="Q277" s="853">
        <v>0</v>
      </c>
      <c r="R277" s="821">
        <f t="shared" si="260"/>
        <v>0</v>
      </c>
      <c r="S277" s="2824"/>
      <c r="T277" s="537"/>
    </row>
    <row r="278" spans="1:20" ht="13.5" customHeight="1" x14ac:dyDescent="0.2">
      <c r="A278" s="2810"/>
      <c r="B278" s="696" t="s">
        <v>5</v>
      </c>
      <c r="C278" s="2816"/>
      <c r="D278" s="697">
        <f>+E278+F278+G278+H278</f>
        <v>217585</v>
      </c>
      <c r="E278" s="699">
        <f>40000+1074</f>
        <v>41074</v>
      </c>
      <c r="F278" s="733">
        <v>176511</v>
      </c>
      <c r="G278" s="735">
        <v>0</v>
      </c>
      <c r="H278" s="736">
        <v>0</v>
      </c>
      <c r="I278" s="697">
        <f>+J278+K278+L278+M278</f>
        <v>217585.31</v>
      </c>
      <c r="J278" s="699">
        <f>40000+1074</f>
        <v>41074</v>
      </c>
      <c r="K278" s="733">
        <v>176511.31</v>
      </c>
      <c r="L278" s="735">
        <v>0</v>
      </c>
      <c r="M278" s="736">
        <v>0</v>
      </c>
      <c r="N278" s="762">
        <f>J278+K278+P278</f>
        <v>217585.31</v>
      </c>
      <c r="O278" s="734">
        <f t="shared" si="264"/>
        <v>100.00014247305651</v>
      </c>
      <c r="P278" s="698">
        <v>0</v>
      </c>
      <c r="Q278" s="735">
        <v>0</v>
      </c>
      <c r="R278" s="733">
        <f t="shared" si="260"/>
        <v>0</v>
      </c>
      <c r="S278" s="2824"/>
      <c r="T278" s="537"/>
    </row>
    <row r="279" spans="1:20" ht="13.5" customHeight="1" x14ac:dyDescent="0.2">
      <c r="A279" s="2810"/>
      <c r="B279" s="703" t="s">
        <v>13</v>
      </c>
      <c r="C279" s="2816"/>
      <c r="D279" s="704">
        <f t="shared" ref="D279:N279" si="272">+D280</f>
        <v>12931110</v>
      </c>
      <c r="E279" s="705">
        <f t="shared" si="272"/>
        <v>5986600</v>
      </c>
      <c r="F279" s="705">
        <f t="shared" si="272"/>
        <v>6944510</v>
      </c>
      <c r="G279" s="706">
        <f t="shared" si="272"/>
        <v>0</v>
      </c>
      <c r="H279" s="707">
        <f t="shared" si="272"/>
        <v>0</v>
      </c>
      <c r="I279" s="704">
        <f t="shared" si="272"/>
        <v>12931109.77</v>
      </c>
      <c r="J279" s="705">
        <f t="shared" si="272"/>
        <v>5986600</v>
      </c>
      <c r="K279" s="705">
        <f>+K280</f>
        <v>6944509.7699999996</v>
      </c>
      <c r="L279" s="706">
        <f t="shared" si="272"/>
        <v>0</v>
      </c>
      <c r="M279" s="707">
        <f t="shared" si="272"/>
        <v>0</v>
      </c>
      <c r="N279" s="704">
        <f t="shared" si="272"/>
        <v>12931109.77</v>
      </c>
      <c r="O279" s="708">
        <f t="shared" si="264"/>
        <v>99.999998221343716</v>
      </c>
      <c r="P279" s="706">
        <f>+P280</f>
        <v>0</v>
      </c>
      <c r="Q279" s="706">
        <v>0</v>
      </c>
      <c r="R279" s="705">
        <f t="shared" si="260"/>
        <v>0</v>
      </c>
      <c r="S279" s="2824"/>
      <c r="T279" s="537"/>
    </row>
    <row r="280" spans="1:20" ht="11.25" customHeight="1" x14ac:dyDescent="0.2">
      <c r="A280" s="2810"/>
      <c r="B280" s="696" t="s">
        <v>15</v>
      </c>
      <c r="C280" s="2816"/>
      <c r="D280" s="697">
        <f>+E280+F280+G280+H280</f>
        <v>12931110</v>
      </c>
      <c r="E280" s="699">
        <f>335220+5651380</f>
        <v>5986600</v>
      </c>
      <c r="F280" s="733">
        <v>6944510</v>
      </c>
      <c r="G280" s="735">
        <v>0</v>
      </c>
      <c r="H280" s="736">
        <v>0</v>
      </c>
      <c r="I280" s="697">
        <f>+J280+K280+L280+M280</f>
        <v>12931109.77</v>
      </c>
      <c r="J280" s="699">
        <f>335220+5651380</f>
        <v>5986600</v>
      </c>
      <c r="K280" s="733">
        <v>6944509.7699999996</v>
      </c>
      <c r="L280" s="735">
        <v>0</v>
      </c>
      <c r="M280" s="736">
        <v>0</v>
      </c>
      <c r="N280" s="762">
        <f>J280+K280+P280</f>
        <v>12931109.77</v>
      </c>
      <c r="O280" s="734">
        <f t="shared" si="264"/>
        <v>99.999998221343716</v>
      </c>
      <c r="P280" s="698">
        <v>0</v>
      </c>
      <c r="Q280" s="735">
        <v>0</v>
      </c>
      <c r="R280" s="733">
        <f t="shared" si="260"/>
        <v>0</v>
      </c>
      <c r="S280" s="2824"/>
      <c r="T280" s="537"/>
    </row>
    <row r="281" spans="1:20" s="726" customFormat="1" ht="12.75" customHeight="1" x14ac:dyDescent="0.2">
      <c r="A281" s="2811"/>
      <c r="B281" s="565" t="s">
        <v>17</v>
      </c>
      <c r="C281" s="566"/>
      <c r="D281" s="826">
        <f>+D282</f>
        <v>12931110</v>
      </c>
      <c r="E281" s="827">
        <v>0</v>
      </c>
      <c r="F281" s="828">
        <f t="shared" ref="F281:H282" si="273">+F282</f>
        <v>12213110</v>
      </c>
      <c r="G281" s="828">
        <f t="shared" si="273"/>
        <v>718000</v>
      </c>
      <c r="H281" s="827">
        <f t="shared" si="273"/>
        <v>0</v>
      </c>
      <c r="I281" s="826">
        <f>+I282</f>
        <v>12931110</v>
      </c>
      <c r="J281" s="827">
        <v>0</v>
      </c>
      <c r="K281" s="828">
        <f>+K282</f>
        <v>12213110</v>
      </c>
      <c r="L281" s="828">
        <f t="shared" ref="L281:M282" si="274">+L282</f>
        <v>718000</v>
      </c>
      <c r="M281" s="843">
        <f t="shared" si="274"/>
        <v>0</v>
      </c>
      <c r="N281" s="826">
        <f>+N282</f>
        <v>12213110</v>
      </c>
      <c r="O281" s="830">
        <f t="shared" si="264"/>
        <v>94.447499093271958</v>
      </c>
      <c r="P281" s="828">
        <f>+P282</f>
        <v>0</v>
      </c>
      <c r="Q281" s="830">
        <f t="shared" si="265"/>
        <v>0</v>
      </c>
      <c r="R281" s="828">
        <f t="shared" si="260"/>
        <v>-718000</v>
      </c>
      <c r="S281" s="2816"/>
      <c r="T281" s="537"/>
    </row>
    <row r="282" spans="1:20" s="877" customFormat="1" ht="12.75" customHeight="1" x14ac:dyDescent="0.2">
      <c r="A282" s="2811"/>
      <c r="B282" s="703" t="s">
        <v>13</v>
      </c>
      <c r="C282" s="2771" t="s">
        <v>42</v>
      </c>
      <c r="D282" s="774">
        <f>+D283</f>
        <v>12931110</v>
      </c>
      <c r="E282" s="802">
        <v>0</v>
      </c>
      <c r="F282" s="775">
        <f t="shared" si="273"/>
        <v>12213110</v>
      </c>
      <c r="G282" s="775">
        <f t="shared" si="273"/>
        <v>718000</v>
      </c>
      <c r="H282" s="802">
        <f t="shared" si="273"/>
        <v>0</v>
      </c>
      <c r="I282" s="774">
        <f>+I283</f>
        <v>12931110</v>
      </c>
      <c r="J282" s="802">
        <v>0</v>
      </c>
      <c r="K282" s="775">
        <f>+K283</f>
        <v>12213110</v>
      </c>
      <c r="L282" s="775">
        <f t="shared" si="274"/>
        <v>718000</v>
      </c>
      <c r="M282" s="803">
        <f t="shared" si="274"/>
        <v>0</v>
      </c>
      <c r="N282" s="762">
        <f>J282+K282+P282</f>
        <v>12213110</v>
      </c>
      <c r="O282" s="779">
        <f t="shared" si="264"/>
        <v>94.447499093271958</v>
      </c>
      <c r="P282" s="775">
        <f>+P283</f>
        <v>0</v>
      </c>
      <c r="Q282" s="779">
        <f t="shared" si="265"/>
        <v>0</v>
      </c>
      <c r="R282" s="733">
        <f t="shared" si="260"/>
        <v>-718000</v>
      </c>
      <c r="S282" s="2816"/>
      <c r="T282" s="537"/>
    </row>
    <row r="283" spans="1:20" s="726" customFormat="1" ht="12.75" customHeight="1" thickBot="1" x14ac:dyDescent="0.25">
      <c r="A283" s="2812"/>
      <c r="B283" s="780" t="s">
        <v>15</v>
      </c>
      <c r="C283" s="2818"/>
      <c r="D283" s="718">
        <f>+E283+F283+G283+H283</f>
        <v>12931110</v>
      </c>
      <c r="E283" s="719">
        <v>0</v>
      </c>
      <c r="F283" s="805">
        <v>12213110</v>
      </c>
      <c r="G283" s="805">
        <v>718000</v>
      </c>
      <c r="H283" s="804">
        <v>0</v>
      </c>
      <c r="I283" s="718">
        <f>+J283+K283+L283+M283</f>
        <v>12931110</v>
      </c>
      <c r="J283" s="719">
        <v>0</v>
      </c>
      <c r="K283" s="805">
        <v>12213110</v>
      </c>
      <c r="L283" s="805">
        <v>718000</v>
      </c>
      <c r="M283" s="806">
        <v>0</v>
      </c>
      <c r="N283" s="784">
        <f>J283+K283+P283</f>
        <v>12213110</v>
      </c>
      <c r="O283" s="812">
        <f t="shared" si="264"/>
        <v>94.447499093271958</v>
      </c>
      <c r="P283" s="805">
        <v>0</v>
      </c>
      <c r="Q283" s="812">
        <f t="shared" si="265"/>
        <v>0</v>
      </c>
      <c r="R283" s="786">
        <f t="shared" si="260"/>
        <v>-718000</v>
      </c>
      <c r="S283" s="2818"/>
      <c r="T283" s="537"/>
    </row>
    <row r="284" spans="1:20" ht="28.5" customHeight="1" x14ac:dyDescent="0.2">
      <c r="A284" s="2809" t="s">
        <v>77</v>
      </c>
      <c r="B284" s="896" t="s">
        <v>337</v>
      </c>
      <c r="C284" s="676" t="s">
        <v>225</v>
      </c>
      <c r="D284" s="862"/>
      <c r="E284" s="863"/>
      <c r="F284" s="863"/>
      <c r="G284" s="863"/>
      <c r="H284" s="864"/>
      <c r="I284" s="862"/>
      <c r="J284" s="863"/>
      <c r="K284" s="863"/>
      <c r="L284" s="863"/>
      <c r="M284" s="864"/>
      <c r="N284" s="862"/>
      <c r="O284" s="865"/>
      <c r="P284" s="863"/>
      <c r="Q284" s="865"/>
      <c r="R284" s="863"/>
      <c r="S284" s="2823" t="s">
        <v>45</v>
      </c>
      <c r="T284" s="537"/>
    </row>
    <row r="285" spans="1:20" ht="13.5" customHeight="1" x14ac:dyDescent="0.2">
      <c r="A285" s="2810"/>
      <c r="B285" s="565" t="s">
        <v>3</v>
      </c>
      <c r="C285" s="566"/>
      <c r="D285" s="817">
        <f t="shared" ref="D285:H285" si="275">+D286+D288</f>
        <v>4257843</v>
      </c>
      <c r="E285" s="815">
        <f t="shared" si="275"/>
        <v>696120</v>
      </c>
      <c r="F285" s="815">
        <f t="shared" si="275"/>
        <v>861723</v>
      </c>
      <c r="G285" s="815">
        <f t="shared" si="275"/>
        <v>2700000</v>
      </c>
      <c r="H285" s="851">
        <f t="shared" si="275"/>
        <v>0</v>
      </c>
      <c r="I285" s="817">
        <f t="shared" ref="I285:N285" si="276">+I286+I288</f>
        <v>4257842.84</v>
      </c>
      <c r="J285" s="815">
        <f t="shared" si="276"/>
        <v>696120</v>
      </c>
      <c r="K285" s="815">
        <f>+K286+K288</f>
        <v>861722.84</v>
      </c>
      <c r="L285" s="815">
        <f t="shared" si="276"/>
        <v>2700000</v>
      </c>
      <c r="M285" s="852">
        <f t="shared" si="276"/>
        <v>0</v>
      </c>
      <c r="N285" s="817">
        <f t="shared" si="276"/>
        <v>2808783.84</v>
      </c>
      <c r="O285" s="818">
        <f t="shared" si="264"/>
        <v>65.967294707672394</v>
      </c>
      <c r="P285" s="815">
        <f>+P286+P288</f>
        <v>1250941</v>
      </c>
      <c r="Q285" s="818">
        <f t="shared" si="265"/>
        <v>46.331148148148152</v>
      </c>
      <c r="R285" s="815">
        <f t="shared" si="260"/>
        <v>-1449059</v>
      </c>
      <c r="S285" s="2824"/>
      <c r="T285" s="537"/>
    </row>
    <row r="286" spans="1:20" ht="13.5" customHeight="1" x14ac:dyDescent="0.2">
      <c r="A286" s="2810"/>
      <c r="B286" s="819" t="s">
        <v>18</v>
      </c>
      <c r="C286" s="2771" t="s">
        <v>46</v>
      </c>
      <c r="D286" s="820">
        <f t="shared" ref="D286:N286" si="277">+D287</f>
        <v>4257843</v>
      </c>
      <c r="E286" s="821">
        <f t="shared" si="277"/>
        <v>696120</v>
      </c>
      <c r="F286" s="821">
        <f t="shared" si="277"/>
        <v>861723</v>
      </c>
      <c r="G286" s="821">
        <f t="shared" si="277"/>
        <v>2700000</v>
      </c>
      <c r="H286" s="853">
        <f t="shared" si="277"/>
        <v>0</v>
      </c>
      <c r="I286" s="820">
        <f t="shared" si="277"/>
        <v>4257842.84</v>
      </c>
      <c r="J286" s="821">
        <f t="shared" si="277"/>
        <v>696120</v>
      </c>
      <c r="K286" s="821">
        <f>+K287</f>
        <v>861722.84</v>
      </c>
      <c r="L286" s="821">
        <f t="shared" si="277"/>
        <v>2700000</v>
      </c>
      <c r="M286" s="854">
        <f t="shared" si="277"/>
        <v>0</v>
      </c>
      <c r="N286" s="820">
        <f t="shared" si="277"/>
        <v>2808783.84</v>
      </c>
      <c r="O286" s="823">
        <f t="shared" si="264"/>
        <v>65.967294707672394</v>
      </c>
      <c r="P286" s="821">
        <f>+P287</f>
        <v>1250941</v>
      </c>
      <c r="Q286" s="823">
        <f t="shared" si="265"/>
        <v>46.331148148148152</v>
      </c>
      <c r="R286" s="821">
        <f t="shared" si="260"/>
        <v>-1449059</v>
      </c>
      <c r="S286" s="2824"/>
      <c r="T286" s="537"/>
    </row>
    <row r="287" spans="1:20" ht="13.5" customHeight="1" x14ac:dyDescent="0.2">
      <c r="A287" s="2810"/>
      <c r="B287" s="696" t="s">
        <v>5</v>
      </c>
      <c r="C287" s="2816"/>
      <c r="D287" s="697">
        <f>+E287+F287+G287+H287</f>
        <v>4257843</v>
      </c>
      <c r="E287" s="699">
        <f>603337+92783</f>
        <v>696120</v>
      </c>
      <c r="F287" s="733">
        <v>861723</v>
      </c>
      <c r="G287" s="733">
        <v>2700000</v>
      </c>
      <c r="H287" s="735">
        <v>0</v>
      </c>
      <c r="I287" s="697">
        <f>+J287+K287+L287+M287</f>
        <v>4257842.84</v>
      </c>
      <c r="J287" s="699">
        <f>603337+92783</f>
        <v>696120</v>
      </c>
      <c r="K287" s="733">
        <v>861722.84</v>
      </c>
      <c r="L287" s="733">
        <v>2700000</v>
      </c>
      <c r="M287" s="736">
        <v>0</v>
      </c>
      <c r="N287" s="762">
        <f>J287+K287+P287</f>
        <v>2808783.84</v>
      </c>
      <c r="O287" s="734">
        <f t="shared" si="264"/>
        <v>65.967294707672394</v>
      </c>
      <c r="P287" s="733">
        <v>1250941</v>
      </c>
      <c r="Q287" s="734">
        <f t="shared" si="265"/>
        <v>46.331148148148152</v>
      </c>
      <c r="R287" s="733">
        <f t="shared" si="260"/>
        <v>-1449059</v>
      </c>
      <c r="S287" s="2824"/>
      <c r="T287" s="537"/>
    </row>
    <row r="288" spans="1:20" ht="13.5" customHeight="1" x14ac:dyDescent="0.2">
      <c r="A288" s="2810"/>
      <c r="B288" s="703" t="s">
        <v>13</v>
      </c>
      <c r="C288" s="2816"/>
      <c r="D288" s="897">
        <f t="shared" ref="D288:N288" si="278">+D289</f>
        <v>0</v>
      </c>
      <c r="E288" s="706">
        <f t="shared" si="278"/>
        <v>0</v>
      </c>
      <c r="F288" s="706">
        <f t="shared" si="278"/>
        <v>0</v>
      </c>
      <c r="G288" s="706">
        <f t="shared" si="278"/>
        <v>0</v>
      </c>
      <c r="H288" s="707">
        <f t="shared" si="278"/>
        <v>0</v>
      </c>
      <c r="I288" s="897">
        <f t="shared" si="278"/>
        <v>0</v>
      </c>
      <c r="J288" s="706">
        <f t="shared" si="278"/>
        <v>0</v>
      </c>
      <c r="K288" s="706">
        <f t="shared" si="278"/>
        <v>0</v>
      </c>
      <c r="L288" s="706">
        <f t="shared" si="278"/>
        <v>0</v>
      </c>
      <c r="M288" s="707">
        <f t="shared" si="278"/>
        <v>0</v>
      </c>
      <c r="N288" s="897">
        <f t="shared" si="278"/>
        <v>0</v>
      </c>
      <c r="O288" s="706">
        <v>0</v>
      </c>
      <c r="P288" s="706">
        <v>0</v>
      </c>
      <c r="Q288" s="706">
        <v>0</v>
      </c>
      <c r="R288" s="706">
        <f t="shared" si="260"/>
        <v>0</v>
      </c>
      <c r="S288" s="2824"/>
      <c r="T288" s="537"/>
    </row>
    <row r="289" spans="1:20" ht="13.5" customHeight="1" x14ac:dyDescent="0.2">
      <c r="A289" s="2810"/>
      <c r="B289" s="696" t="s">
        <v>15</v>
      </c>
      <c r="C289" s="2816"/>
      <c r="D289" s="709">
        <f>++E289+F289+G289+H289</f>
        <v>0</v>
      </c>
      <c r="E289" s="698">
        <v>0</v>
      </c>
      <c r="F289" s="735">
        <v>0</v>
      </c>
      <c r="G289" s="735">
        <v>0</v>
      </c>
      <c r="H289" s="736">
        <v>0</v>
      </c>
      <c r="I289" s="709">
        <f>++J289+K289+L289+M289</f>
        <v>0</v>
      </c>
      <c r="J289" s="698">
        <v>0</v>
      </c>
      <c r="K289" s="735">
        <v>0</v>
      </c>
      <c r="L289" s="735">
        <v>0</v>
      </c>
      <c r="M289" s="736">
        <v>0</v>
      </c>
      <c r="N289" s="898">
        <f>J289+K289+P289</f>
        <v>0</v>
      </c>
      <c r="O289" s="735">
        <v>0</v>
      </c>
      <c r="P289" s="698">
        <v>0</v>
      </c>
      <c r="Q289" s="735">
        <v>0</v>
      </c>
      <c r="R289" s="735">
        <f t="shared" si="260"/>
        <v>0</v>
      </c>
      <c r="S289" s="2824"/>
      <c r="T289" s="537"/>
    </row>
    <row r="290" spans="1:20" s="726" customFormat="1" ht="13.5" customHeight="1" x14ac:dyDescent="0.2">
      <c r="A290" s="2811"/>
      <c r="B290" s="565" t="s">
        <v>17</v>
      </c>
      <c r="C290" s="566"/>
      <c r="D290" s="899">
        <f>+D291</f>
        <v>0</v>
      </c>
      <c r="E290" s="827">
        <v>0</v>
      </c>
      <c r="F290" s="827">
        <f t="shared" ref="F290:H291" si="279">+F291</f>
        <v>0</v>
      </c>
      <c r="G290" s="827">
        <f t="shared" si="279"/>
        <v>0</v>
      </c>
      <c r="H290" s="843">
        <f t="shared" si="279"/>
        <v>0</v>
      </c>
      <c r="I290" s="899">
        <f>+I291</f>
        <v>0</v>
      </c>
      <c r="J290" s="827">
        <v>0</v>
      </c>
      <c r="K290" s="827">
        <f t="shared" ref="K290:M291" si="280">+K291</f>
        <v>0</v>
      </c>
      <c r="L290" s="827">
        <f t="shared" si="280"/>
        <v>0</v>
      </c>
      <c r="M290" s="843">
        <f t="shared" si="280"/>
        <v>0</v>
      </c>
      <c r="N290" s="899">
        <f>+N291</f>
        <v>0</v>
      </c>
      <c r="O290" s="827">
        <v>0</v>
      </c>
      <c r="P290" s="827">
        <f>+P291</f>
        <v>0</v>
      </c>
      <c r="Q290" s="827">
        <v>0</v>
      </c>
      <c r="R290" s="827">
        <f t="shared" si="260"/>
        <v>0</v>
      </c>
      <c r="S290" s="2816"/>
      <c r="T290" s="537"/>
    </row>
    <row r="291" spans="1:20" s="877" customFormat="1" ht="13.5" customHeight="1" x14ac:dyDescent="0.2">
      <c r="A291" s="2811"/>
      <c r="B291" s="703" t="s">
        <v>13</v>
      </c>
      <c r="C291" s="2771" t="s">
        <v>42</v>
      </c>
      <c r="D291" s="900">
        <f>+D292</f>
        <v>0</v>
      </c>
      <c r="E291" s="802">
        <v>0</v>
      </c>
      <c r="F291" s="802">
        <f t="shared" si="279"/>
        <v>0</v>
      </c>
      <c r="G291" s="802">
        <f t="shared" si="279"/>
        <v>0</v>
      </c>
      <c r="H291" s="803">
        <f t="shared" si="279"/>
        <v>0</v>
      </c>
      <c r="I291" s="900">
        <f>+I292</f>
        <v>0</v>
      </c>
      <c r="J291" s="802">
        <v>0</v>
      </c>
      <c r="K291" s="802">
        <f t="shared" si="280"/>
        <v>0</v>
      </c>
      <c r="L291" s="802">
        <f t="shared" si="280"/>
        <v>0</v>
      </c>
      <c r="M291" s="803">
        <f t="shared" si="280"/>
        <v>0</v>
      </c>
      <c r="N291" s="900">
        <f>+N292</f>
        <v>0</v>
      </c>
      <c r="O291" s="802">
        <v>0</v>
      </c>
      <c r="P291" s="802">
        <f>+P292</f>
        <v>0</v>
      </c>
      <c r="Q291" s="802">
        <v>0</v>
      </c>
      <c r="R291" s="802">
        <f t="shared" si="260"/>
        <v>0</v>
      </c>
      <c r="S291" s="2816"/>
      <c r="T291" s="537"/>
    </row>
    <row r="292" spans="1:20" s="726" customFormat="1" ht="13.5" customHeight="1" thickBot="1" x14ac:dyDescent="0.25">
      <c r="A292" s="2812"/>
      <c r="B292" s="780" t="s">
        <v>15</v>
      </c>
      <c r="C292" s="2818"/>
      <c r="D292" s="901">
        <f>++E292+F292+G292+H292</f>
        <v>0</v>
      </c>
      <c r="E292" s="719">
        <v>0</v>
      </c>
      <c r="F292" s="804">
        <v>0</v>
      </c>
      <c r="G292" s="804">
        <v>0</v>
      </c>
      <c r="H292" s="806">
        <v>0</v>
      </c>
      <c r="I292" s="901">
        <f>++J292+K292+L292+M292</f>
        <v>0</v>
      </c>
      <c r="J292" s="719">
        <v>0</v>
      </c>
      <c r="K292" s="804">
        <v>0</v>
      </c>
      <c r="L292" s="804">
        <v>0</v>
      </c>
      <c r="M292" s="806">
        <v>0</v>
      </c>
      <c r="N292" s="902">
        <f>J292+K292+P292</f>
        <v>0</v>
      </c>
      <c r="O292" s="804">
        <v>0</v>
      </c>
      <c r="P292" s="804">
        <v>0</v>
      </c>
      <c r="Q292" s="804">
        <v>0</v>
      </c>
      <c r="R292" s="903">
        <f t="shared" si="260"/>
        <v>0</v>
      </c>
      <c r="S292" s="2818"/>
      <c r="T292" s="537"/>
    </row>
    <row r="293" spans="1:20" ht="27" customHeight="1" x14ac:dyDescent="0.2">
      <c r="A293" s="2809" t="s">
        <v>79</v>
      </c>
      <c r="B293" s="675" t="s">
        <v>338</v>
      </c>
      <c r="C293" s="676" t="s">
        <v>225</v>
      </c>
      <c r="D293" s="680"/>
      <c r="E293" s="678"/>
      <c r="F293" s="678"/>
      <c r="G293" s="678"/>
      <c r="H293" s="813"/>
      <c r="I293" s="680"/>
      <c r="J293" s="678"/>
      <c r="K293" s="678"/>
      <c r="L293" s="678"/>
      <c r="M293" s="679"/>
      <c r="N293" s="680"/>
      <c r="O293" s="681"/>
      <c r="P293" s="678"/>
      <c r="Q293" s="681"/>
      <c r="R293" s="678"/>
      <c r="S293" s="2823" t="s">
        <v>45</v>
      </c>
      <c r="T293" s="537"/>
    </row>
    <row r="294" spans="1:20" ht="15" customHeight="1" x14ac:dyDescent="0.2">
      <c r="A294" s="2839"/>
      <c r="B294" s="879" t="s">
        <v>3</v>
      </c>
      <c r="C294" s="566"/>
      <c r="D294" s="817">
        <f t="shared" ref="D294:H294" si="281">+D295+D297</f>
        <v>14918802</v>
      </c>
      <c r="E294" s="815">
        <f t="shared" si="281"/>
        <v>2347694</v>
      </c>
      <c r="F294" s="815">
        <f t="shared" si="281"/>
        <v>12555108</v>
      </c>
      <c r="G294" s="815">
        <f t="shared" si="281"/>
        <v>16000</v>
      </c>
      <c r="H294" s="852">
        <f t="shared" si="281"/>
        <v>0</v>
      </c>
      <c r="I294" s="817">
        <f t="shared" ref="I294:N294" si="282">+I295+I297</f>
        <v>14918802.1</v>
      </c>
      <c r="J294" s="815">
        <f t="shared" si="282"/>
        <v>2347694</v>
      </c>
      <c r="K294" s="815">
        <f>+K295+K297</f>
        <v>12555108.1</v>
      </c>
      <c r="L294" s="815">
        <f t="shared" si="282"/>
        <v>16000</v>
      </c>
      <c r="M294" s="852">
        <f t="shared" si="282"/>
        <v>0</v>
      </c>
      <c r="N294" s="817">
        <f t="shared" si="282"/>
        <v>14902802.1</v>
      </c>
      <c r="O294" s="818">
        <f t="shared" si="264"/>
        <v>99.892753452991741</v>
      </c>
      <c r="P294" s="815">
        <f>+P295+P297</f>
        <v>0</v>
      </c>
      <c r="Q294" s="818">
        <f t="shared" si="265"/>
        <v>0</v>
      </c>
      <c r="R294" s="815">
        <f t="shared" si="260"/>
        <v>-16000</v>
      </c>
      <c r="S294" s="2824"/>
      <c r="T294" s="537"/>
    </row>
    <row r="295" spans="1:20" ht="15" customHeight="1" x14ac:dyDescent="0.2">
      <c r="A295" s="2839"/>
      <c r="B295" s="904" t="s">
        <v>18</v>
      </c>
      <c r="C295" s="2771" t="s">
        <v>46</v>
      </c>
      <c r="D295" s="820">
        <f t="shared" ref="D295:N295" si="283">+D296</f>
        <v>1628493</v>
      </c>
      <c r="E295" s="821">
        <f t="shared" si="283"/>
        <v>37954</v>
      </c>
      <c r="F295" s="821">
        <f t="shared" si="283"/>
        <v>1574539</v>
      </c>
      <c r="G295" s="821">
        <f t="shared" si="283"/>
        <v>16000</v>
      </c>
      <c r="H295" s="854">
        <f t="shared" si="283"/>
        <v>0</v>
      </c>
      <c r="I295" s="820">
        <f t="shared" si="283"/>
        <v>1628492.81</v>
      </c>
      <c r="J295" s="821">
        <f t="shared" si="283"/>
        <v>37954</v>
      </c>
      <c r="K295" s="821">
        <f>+K296</f>
        <v>1574538.81</v>
      </c>
      <c r="L295" s="821">
        <f t="shared" si="283"/>
        <v>16000</v>
      </c>
      <c r="M295" s="854">
        <f t="shared" si="283"/>
        <v>0</v>
      </c>
      <c r="N295" s="820">
        <f t="shared" si="283"/>
        <v>1612492.81</v>
      </c>
      <c r="O295" s="823">
        <f t="shared" si="264"/>
        <v>99.017484877122598</v>
      </c>
      <c r="P295" s="821">
        <f>+P296</f>
        <v>0</v>
      </c>
      <c r="Q295" s="823">
        <f t="shared" si="265"/>
        <v>0</v>
      </c>
      <c r="R295" s="821">
        <f t="shared" si="260"/>
        <v>-16000</v>
      </c>
      <c r="S295" s="2824"/>
      <c r="T295" s="537"/>
    </row>
    <row r="296" spans="1:20" ht="15" customHeight="1" x14ac:dyDescent="0.2">
      <c r="A296" s="2839"/>
      <c r="B296" s="696" t="s">
        <v>5</v>
      </c>
      <c r="C296" s="2816"/>
      <c r="D296" s="697">
        <f>+E296+F296+G296+H296</f>
        <v>1628493</v>
      </c>
      <c r="E296" s="699">
        <v>37954</v>
      </c>
      <c r="F296" s="733">
        <v>1574539</v>
      </c>
      <c r="G296" s="733">
        <v>16000</v>
      </c>
      <c r="H296" s="736">
        <v>0</v>
      </c>
      <c r="I296" s="697">
        <f>+J296+K296+L296+M296</f>
        <v>1628492.81</v>
      </c>
      <c r="J296" s="699">
        <v>37954</v>
      </c>
      <c r="K296" s="733">
        <v>1574538.81</v>
      </c>
      <c r="L296" s="733">
        <v>16000</v>
      </c>
      <c r="M296" s="736">
        <v>0</v>
      </c>
      <c r="N296" s="762">
        <f>J296+K296+P296</f>
        <v>1612492.81</v>
      </c>
      <c r="O296" s="734">
        <f t="shared" si="264"/>
        <v>99.017484877122598</v>
      </c>
      <c r="P296" s="699">
        <v>0</v>
      </c>
      <c r="Q296" s="734">
        <f t="shared" si="265"/>
        <v>0</v>
      </c>
      <c r="R296" s="733">
        <f t="shared" si="260"/>
        <v>-16000</v>
      </c>
      <c r="S296" s="2824"/>
      <c r="T296" s="537"/>
    </row>
    <row r="297" spans="1:20" ht="15" customHeight="1" x14ac:dyDescent="0.2">
      <c r="A297" s="2839"/>
      <c r="B297" s="795" t="s">
        <v>13</v>
      </c>
      <c r="C297" s="2816"/>
      <c r="D297" s="704">
        <f t="shared" ref="D297:N297" si="284">+D298</f>
        <v>13290309</v>
      </c>
      <c r="E297" s="705">
        <f t="shared" si="284"/>
        <v>2309740</v>
      </c>
      <c r="F297" s="705">
        <f t="shared" si="284"/>
        <v>10980569</v>
      </c>
      <c r="G297" s="706">
        <f t="shared" si="284"/>
        <v>0</v>
      </c>
      <c r="H297" s="707">
        <f t="shared" si="284"/>
        <v>0</v>
      </c>
      <c r="I297" s="704">
        <f t="shared" si="284"/>
        <v>13290309.289999999</v>
      </c>
      <c r="J297" s="705">
        <f t="shared" si="284"/>
        <v>2309740</v>
      </c>
      <c r="K297" s="705">
        <f>+K298</f>
        <v>10980569.289999999</v>
      </c>
      <c r="L297" s="706">
        <f t="shared" si="284"/>
        <v>0</v>
      </c>
      <c r="M297" s="707">
        <f t="shared" si="284"/>
        <v>0</v>
      </c>
      <c r="N297" s="704">
        <f t="shared" si="284"/>
        <v>13290309.289999999</v>
      </c>
      <c r="O297" s="708">
        <f t="shared" si="264"/>
        <v>100.00000218204106</v>
      </c>
      <c r="P297" s="706">
        <f>+P298</f>
        <v>0</v>
      </c>
      <c r="Q297" s="706">
        <v>0</v>
      </c>
      <c r="R297" s="706">
        <f t="shared" si="260"/>
        <v>0</v>
      </c>
      <c r="S297" s="2824"/>
      <c r="T297" s="537"/>
    </row>
    <row r="298" spans="1:20" ht="15" customHeight="1" x14ac:dyDescent="0.2">
      <c r="A298" s="2839"/>
      <c r="B298" s="696" t="s">
        <v>15</v>
      </c>
      <c r="C298" s="2816"/>
      <c r="D298" s="697">
        <f>++E298+F298+G298+H298</f>
        <v>13290309</v>
      </c>
      <c r="E298" s="699">
        <f>362990+1946750</f>
        <v>2309740</v>
      </c>
      <c r="F298" s="733">
        <v>10980569</v>
      </c>
      <c r="G298" s="735">
        <v>0</v>
      </c>
      <c r="H298" s="736">
        <v>0</v>
      </c>
      <c r="I298" s="697">
        <f>++J298+K298+L298+M298</f>
        <v>13290309.289999999</v>
      </c>
      <c r="J298" s="699">
        <f>362990+1946750</f>
        <v>2309740</v>
      </c>
      <c r="K298" s="733">
        <v>10980569.289999999</v>
      </c>
      <c r="L298" s="735">
        <v>0</v>
      </c>
      <c r="M298" s="736">
        <v>0</v>
      </c>
      <c r="N298" s="762">
        <f>J298+K298+P298</f>
        <v>13290309.289999999</v>
      </c>
      <c r="O298" s="734">
        <f t="shared" si="264"/>
        <v>100.00000218204106</v>
      </c>
      <c r="P298" s="698">
        <v>0</v>
      </c>
      <c r="Q298" s="735">
        <v>0</v>
      </c>
      <c r="R298" s="735">
        <f t="shared" si="260"/>
        <v>0</v>
      </c>
      <c r="S298" s="2824"/>
      <c r="T298" s="537"/>
    </row>
    <row r="299" spans="1:20" s="726" customFormat="1" ht="15" customHeight="1" x14ac:dyDescent="0.2">
      <c r="A299" s="2839"/>
      <c r="B299" s="879" t="s">
        <v>17</v>
      </c>
      <c r="C299" s="566"/>
      <c r="D299" s="826">
        <f>+D300</f>
        <v>13290309</v>
      </c>
      <c r="E299" s="827">
        <v>0</v>
      </c>
      <c r="F299" s="828">
        <f t="shared" ref="F299:H300" si="285">+F300</f>
        <v>10042439</v>
      </c>
      <c r="G299" s="828">
        <f t="shared" si="285"/>
        <v>3247870</v>
      </c>
      <c r="H299" s="827">
        <f t="shared" si="285"/>
        <v>0</v>
      </c>
      <c r="I299" s="826">
        <f>+I300</f>
        <v>13290309</v>
      </c>
      <c r="J299" s="827">
        <v>0</v>
      </c>
      <c r="K299" s="828">
        <f>+K300</f>
        <v>10042439</v>
      </c>
      <c r="L299" s="828">
        <f t="shared" ref="L299:M300" si="286">+L300</f>
        <v>3247870</v>
      </c>
      <c r="M299" s="843">
        <f t="shared" si="286"/>
        <v>0</v>
      </c>
      <c r="N299" s="826">
        <f>+N300</f>
        <v>10042439</v>
      </c>
      <c r="O299" s="830">
        <f t="shared" si="264"/>
        <v>75.562118232164494</v>
      </c>
      <c r="P299" s="828">
        <f>+P300</f>
        <v>0</v>
      </c>
      <c r="Q299" s="830">
        <f t="shared" si="265"/>
        <v>0</v>
      </c>
      <c r="R299" s="828">
        <f t="shared" si="260"/>
        <v>-3247870</v>
      </c>
      <c r="S299" s="2824"/>
      <c r="T299" s="537"/>
    </row>
    <row r="300" spans="1:20" s="877" customFormat="1" ht="15" customHeight="1" x14ac:dyDescent="0.2">
      <c r="A300" s="2839"/>
      <c r="B300" s="795" t="s">
        <v>13</v>
      </c>
      <c r="C300" s="2771" t="s">
        <v>42</v>
      </c>
      <c r="D300" s="774">
        <f>+D301</f>
        <v>13290309</v>
      </c>
      <c r="E300" s="802">
        <v>0</v>
      </c>
      <c r="F300" s="776">
        <f t="shared" si="285"/>
        <v>10042439</v>
      </c>
      <c r="G300" s="776">
        <f t="shared" si="285"/>
        <v>3247870</v>
      </c>
      <c r="H300" s="777">
        <f t="shared" si="285"/>
        <v>0</v>
      </c>
      <c r="I300" s="774">
        <f>+I301</f>
        <v>13290309</v>
      </c>
      <c r="J300" s="802">
        <v>0</v>
      </c>
      <c r="K300" s="776">
        <f>+K301</f>
        <v>10042439</v>
      </c>
      <c r="L300" s="776">
        <f t="shared" si="286"/>
        <v>3247870</v>
      </c>
      <c r="M300" s="778">
        <f t="shared" si="286"/>
        <v>0</v>
      </c>
      <c r="N300" s="762">
        <f>J300+K300+P300</f>
        <v>10042439</v>
      </c>
      <c r="O300" s="779">
        <f t="shared" si="264"/>
        <v>75.562118232164494</v>
      </c>
      <c r="P300" s="775">
        <f>+P301</f>
        <v>0</v>
      </c>
      <c r="Q300" s="779">
        <f t="shared" si="265"/>
        <v>0</v>
      </c>
      <c r="R300" s="733">
        <f t="shared" si="260"/>
        <v>-3247870</v>
      </c>
      <c r="S300" s="2824"/>
      <c r="T300" s="537"/>
    </row>
    <row r="301" spans="1:20" s="877" customFormat="1" ht="15" customHeight="1" thickBot="1" x14ac:dyDescent="0.25">
      <c r="A301" s="2840"/>
      <c r="B301" s="780" t="s">
        <v>15</v>
      </c>
      <c r="C301" s="2818"/>
      <c r="D301" s="718">
        <f>+E301+F301+G301+H301</f>
        <v>13290309</v>
      </c>
      <c r="E301" s="888">
        <v>0</v>
      </c>
      <c r="F301" s="905">
        <v>10042439</v>
      </c>
      <c r="G301" s="905">
        <v>3247870</v>
      </c>
      <c r="H301" s="906">
        <v>0</v>
      </c>
      <c r="I301" s="718">
        <f>+J301+K301+L301+M301</f>
        <v>13290309</v>
      </c>
      <c r="J301" s="888">
        <v>0</v>
      </c>
      <c r="K301" s="905">
        <v>10042439</v>
      </c>
      <c r="L301" s="905">
        <v>3247870</v>
      </c>
      <c r="M301" s="907">
        <v>0</v>
      </c>
      <c r="N301" s="784">
        <f>J301+K301+P301</f>
        <v>10042439</v>
      </c>
      <c r="O301" s="908">
        <f t="shared" si="264"/>
        <v>75.562118232164494</v>
      </c>
      <c r="P301" s="909">
        <v>0</v>
      </c>
      <c r="Q301" s="908">
        <f t="shared" si="265"/>
        <v>0</v>
      </c>
      <c r="R301" s="786">
        <f t="shared" si="260"/>
        <v>-3247870</v>
      </c>
      <c r="S301" s="2841"/>
      <c r="T301" s="537"/>
    </row>
    <row r="302" spans="1:20" ht="25.5" customHeight="1" x14ac:dyDescent="0.2">
      <c r="A302" s="2809" t="s">
        <v>80</v>
      </c>
      <c r="B302" s="910" t="s">
        <v>339</v>
      </c>
      <c r="C302" s="911"/>
      <c r="D302" s="862"/>
      <c r="E302" s="863"/>
      <c r="F302" s="863"/>
      <c r="G302" s="863"/>
      <c r="H302" s="864"/>
      <c r="I302" s="862"/>
      <c r="J302" s="863"/>
      <c r="K302" s="863"/>
      <c r="L302" s="863"/>
      <c r="M302" s="864"/>
      <c r="N302" s="862"/>
      <c r="O302" s="865"/>
      <c r="P302" s="863"/>
      <c r="Q302" s="865"/>
      <c r="R302" s="863"/>
      <c r="S302" s="2823" t="s">
        <v>45</v>
      </c>
      <c r="T302" s="537"/>
    </row>
    <row r="303" spans="1:20" ht="14.25" customHeight="1" x14ac:dyDescent="0.2">
      <c r="A303" s="2810"/>
      <c r="B303" s="565" t="s">
        <v>3</v>
      </c>
      <c r="C303" s="566"/>
      <c r="D303" s="817">
        <f t="shared" ref="D303:H303" si="287">+D304+D306</f>
        <v>3841880</v>
      </c>
      <c r="E303" s="815">
        <f t="shared" si="287"/>
        <v>422286</v>
      </c>
      <c r="F303" s="815">
        <f t="shared" si="287"/>
        <v>3414594</v>
      </c>
      <c r="G303" s="815">
        <f t="shared" si="287"/>
        <v>5000</v>
      </c>
      <c r="H303" s="851">
        <f t="shared" si="287"/>
        <v>0</v>
      </c>
      <c r="I303" s="817">
        <f t="shared" ref="I303:N303" si="288">+I304+I306</f>
        <v>3841880</v>
      </c>
      <c r="J303" s="815">
        <f t="shared" si="288"/>
        <v>422286</v>
      </c>
      <c r="K303" s="815">
        <f t="shared" si="288"/>
        <v>3414594</v>
      </c>
      <c r="L303" s="815">
        <f t="shared" si="288"/>
        <v>5000</v>
      </c>
      <c r="M303" s="852">
        <f t="shared" si="288"/>
        <v>0</v>
      </c>
      <c r="N303" s="817">
        <f t="shared" si="288"/>
        <v>3837480</v>
      </c>
      <c r="O303" s="818">
        <f t="shared" si="264"/>
        <v>99.88547273730569</v>
      </c>
      <c r="P303" s="815">
        <f>+P304+P306</f>
        <v>600</v>
      </c>
      <c r="Q303" s="818">
        <f t="shared" si="265"/>
        <v>12</v>
      </c>
      <c r="R303" s="815">
        <f t="shared" si="260"/>
        <v>-4400</v>
      </c>
      <c r="S303" s="2824"/>
      <c r="T303" s="537"/>
    </row>
    <row r="304" spans="1:20" ht="14.25" customHeight="1" x14ac:dyDescent="0.2">
      <c r="A304" s="2810"/>
      <c r="B304" s="819" t="s">
        <v>18</v>
      </c>
      <c r="C304" s="2771" t="s">
        <v>46</v>
      </c>
      <c r="D304" s="820">
        <f t="shared" ref="D304:N304" si="289">+D305</f>
        <v>3841880</v>
      </c>
      <c r="E304" s="821">
        <f t="shared" si="289"/>
        <v>422286</v>
      </c>
      <c r="F304" s="821">
        <f t="shared" si="289"/>
        <v>3414594</v>
      </c>
      <c r="G304" s="821">
        <f t="shared" si="289"/>
        <v>5000</v>
      </c>
      <c r="H304" s="853">
        <f t="shared" si="289"/>
        <v>0</v>
      </c>
      <c r="I304" s="820">
        <f t="shared" si="289"/>
        <v>3841880</v>
      </c>
      <c r="J304" s="821">
        <f t="shared" si="289"/>
        <v>422286</v>
      </c>
      <c r="K304" s="821">
        <f t="shared" si="289"/>
        <v>3414594</v>
      </c>
      <c r="L304" s="821">
        <f t="shared" si="289"/>
        <v>5000</v>
      </c>
      <c r="M304" s="854">
        <f t="shared" si="289"/>
        <v>0</v>
      </c>
      <c r="N304" s="820">
        <f t="shared" si="289"/>
        <v>3837480</v>
      </c>
      <c r="O304" s="823">
        <f t="shared" si="264"/>
        <v>99.88547273730569</v>
      </c>
      <c r="P304" s="821">
        <f>+P305</f>
        <v>600</v>
      </c>
      <c r="Q304" s="823">
        <f t="shared" si="265"/>
        <v>12</v>
      </c>
      <c r="R304" s="821">
        <f t="shared" si="260"/>
        <v>-4400</v>
      </c>
      <c r="S304" s="2824"/>
      <c r="T304" s="537"/>
    </row>
    <row r="305" spans="1:20" ht="14.25" customHeight="1" x14ac:dyDescent="0.2">
      <c r="A305" s="2810"/>
      <c r="B305" s="886" t="s">
        <v>5</v>
      </c>
      <c r="C305" s="2816"/>
      <c r="D305" s="697">
        <f>+E305+F305+G305+H305</f>
        <v>3841880</v>
      </c>
      <c r="E305" s="699">
        <f>372266+50020</f>
        <v>422286</v>
      </c>
      <c r="F305" s="733">
        <v>3414594</v>
      </c>
      <c r="G305" s="733">
        <v>5000</v>
      </c>
      <c r="H305" s="735">
        <v>0</v>
      </c>
      <c r="I305" s="697">
        <f>+J305+K305+L305+M305</f>
        <v>3841880</v>
      </c>
      <c r="J305" s="699">
        <f>372266+50020</f>
        <v>422286</v>
      </c>
      <c r="K305" s="733">
        <v>3414594</v>
      </c>
      <c r="L305" s="733">
        <v>5000</v>
      </c>
      <c r="M305" s="736">
        <v>0</v>
      </c>
      <c r="N305" s="762">
        <f>J305+K305+P305</f>
        <v>3837480</v>
      </c>
      <c r="O305" s="734">
        <f t="shared" si="264"/>
        <v>99.88547273730569</v>
      </c>
      <c r="P305" s="733">
        <v>600</v>
      </c>
      <c r="Q305" s="734">
        <f t="shared" si="265"/>
        <v>12</v>
      </c>
      <c r="R305" s="733">
        <f t="shared" si="260"/>
        <v>-4400</v>
      </c>
      <c r="S305" s="2824"/>
      <c r="T305" s="537"/>
    </row>
    <row r="306" spans="1:20" ht="14.25" customHeight="1" x14ac:dyDescent="0.2">
      <c r="A306" s="2810"/>
      <c r="B306" s="703" t="s">
        <v>13</v>
      </c>
      <c r="C306" s="2816"/>
      <c r="D306" s="897">
        <f t="shared" ref="D306:N306" si="290">+D307</f>
        <v>0</v>
      </c>
      <c r="E306" s="706">
        <f t="shared" si="290"/>
        <v>0</v>
      </c>
      <c r="F306" s="706">
        <f t="shared" si="290"/>
        <v>0</v>
      </c>
      <c r="G306" s="706">
        <f t="shared" si="290"/>
        <v>0</v>
      </c>
      <c r="H306" s="707">
        <f t="shared" si="290"/>
        <v>0</v>
      </c>
      <c r="I306" s="897">
        <f t="shared" si="290"/>
        <v>0</v>
      </c>
      <c r="J306" s="706">
        <f t="shared" si="290"/>
        <v>0</v>
      </c>
      <c r="K306" s="706">
        <f t="shared" si="290"/>
        <v>0</v>
      </c>
      <c r="L306" s="706">
        <f t="shared" si="290"/>
        <v>0</v>
      </c>
      <c r="M306" s="707">
        <f t="shared" si="290"/>
        <v>0</v>
      </c>
      <c r="N306" s="897">
        <f t="shared" si="290"/>
        <v>0</v>
      </c>
      <c r="O306" s="706">
        <v>0</v>
      </c>
      <c r="P306" s="706">
        <f>+P307</f>
        <v>0</v>
      </c>
      <c r="Q306" s="706">
        <v>0</v>
      </c>
      <c r="R306" s="706">
        <f t="shared" si="260"/>
        <v>0</v>
      </c>
      <c r="S306" s="2824"/>
      <c r="T306" s="537"/>
    </row>
    <row r="307" spans="1:20" ht="14.25" customHeight="1" x14ac:dyDescent="0.2">
      <c r="A307" s="2810"/>
      <c r="B307" s="886" t="s">
        <v>15</v>
      </c>
      <c r="C307" s="2816"/>
      <c r="D307" s="709">
        <f>+E307+F307+G307+H307</f>
        <v>0</v>
      </c>
      <c r="E307" s="698">
        <v>0</v>
      </c>
      <c r="F307" s="735">
        <v>0</v>
      </c>
      <c r="G307" s="735">
        <v>0</v>
      </c>
      <c r="H307" s="873">
        <v>0</v>
      </c>
      <c r="I307" s="709">
        <f>+J307+K307+L307+M307</f>
        <v>0</v>
      </c>
      <c r="J307" s="698">
        <v>0</v>
      </c>
      <c r="K307" s="735">
        <v>0</v>
      </c>
      <c r="L307" s="735">
        <v>0</v>
      </c>
      <c r="M307" s="873">
        <v>0</v>
      </c>
      <c r="N307" s="898">
        <f>J307+K307+P307</f>
        <v>0</v>
      </c>
      <c r="O307" s="735">
        <v>0</v>
      </c>
      <c r="P307" s="698">
        <v>0</v>
      </c>
      <c r="Q307" s="735">
        <v>0</v>
      </c>
      <c r="R307" s="735">
        <f t="shared" si="260"/>
        <v>0</v>
      </c>
      <c r="S307" s="2824"/>
      <c r="T307" s="537"/>
    </row>
    <row r="308" spans="1:20" s="726" customFormat="1" ht="14.25" customHeight="1" x14ac:dyDescent="0.2">
      <c r="A308" s="2811"/>
      <c r="B308" s="565" t="s">
        <v>17</v>
      </c>
      <c r="C308" s="566"/>
      <c r="D308" s="899">
        <f>+D309</f>
        <v>0</v>
      </c>
      <c r="E308" s="827">
        <f t="shared" ref="E308:M309" si="291">+E309</f>
        <v>0</v>
      </c>
      <c r="F308" s="827">
        <f t="shared" si="291"/>
        <v>0</v>
      </c>
      <c r="G308" s="827">
        <f t="shared" si="291"/>
        <v>0</v>
      </c>
      <c r="H308" s="843">
        <f t="shared" si="291"/>
        <v>0</v>
      </c>
      <c r="I308" s="899">
        <f>+I309</f>
        <v>0</v>
      </c>
      <c r="J308" s="827">
        <f t="shared" si="291"/>
        <v>0</v>
      </c>
      <c r="K308" s="827">
        <f t="shared" si="291"/>
        <v>0</v>
      </c>
      <c r="L308" s="827">
        <f t="shared" si="291"/>
        <v>0</v>
      </c>
      <c r="M308" s="843">
        <f t="shared" si="291"/>
        <v>0</v>
      </c>
      <c r="N308" s="899">
        <f>+N309</f>
        <v>0</v>
      </c>
      <c r="O308" s="827">
        <v>0</v>
      </c>
      <c r="P308" s="827">
        <f>+P309</f>
        <v>0</v>
      </c>
      <c r="Q308" s="827">
        <v>0</v>
      </c>
      <c r="R308" s="827">
        <f t="shared" si="260"/>
        <v>0</v>
      </c>
      <c r="S308" s="2816"/>
      <c r="T308" s="537"/>
    </row>
    <row r="309" spans="1:20" s="877" customFormat="1" ht="14.25" customHeight="1" x14ac:dyDescent="0.2">
      <c r="A309" s="2811"/>
      <c r="B309" s="703" t="s">
        <v>13</v>
      </c>
      <c r="C309" s="2771" t="s">
        <v>42</v>
      </c>
      <c r="D309" s="900">
        <f>+D310</f>
        <v>0</v>
      </c>
      <c r="E309" s="802">
        <v>0</v>
      </c>
      <c r="F309" s="802">
        <f t="shared" si="291"/>
        <v>0</v>
      </c>
      <c r="G309" s="777">
        <f t="shared" si="291"/>
        <v>0</v>
      </c>
      <c r="H309" s="803">
        <f t="shared" si="291"/>
        <v>0</v>
      </c>
      <c r="I309" s="900">
        <f>+I310</f>
        <v>0</v>
      </c>
      <c r="J309" s="802">
        <v>0</v>
      </c>
      <c r="K309" s="802">
        <f t="shared" si="291"/>
        <v>0</v>
      </c>
      <c r="L309" s="777">
        <f t="shared" si="291"/>
        <v>0</v>
      </c>
      <c r="M309" s="803">
        <f t="shared" si="291"/>
        <v>0</v>
      </c>
      <c r="N309" s="900">
        <f>+N310</f>
        <v>0</v>
      </c>
      <c r="O309" s="802">
        <v>0</v>
      </c>
      <c r="P309" s="802">
        <f>+P310</f>
        <v>0</v>
      </c>
      <c r="Q309" s="802">
        <v>0</v>
      </c>
      <c r="R309" s="802">
        <f t="shared" si="260"/>
        <v>0</v>
      </c>
      <c r="S309" s="2816"/>
      <c r="T309" s="537"/>
    </row>
    <row r="310" spans="1:20" s="877" customFormat="1" ht="14.25" customHeight="1" thickBot="1" x14ac:dyDescent="0.25">
      <c r="A310" s="2812"/>
      <c r="B310" s="887" t="s">
        <v>15</v>
      </c>
      <c r="C310" s="2818"/>
      <c r="D310" s="901">
        <f>+E310+F310+G310+H310</f>
        <v>0</v>
      </c>
      <c r="E310" s="888">
        <v>0</v>
      </c>
      <c r="F310" s="888">
        <v>0</v>
      </c>
      <c r="G310" s="906">
        <v>0</v>
      </c>
      <c r="H310" s="912">
        <v>0</v>
      </c>
      <c r="I310" s="901">
        <f>+J310+K310+L310+M310</f>
        <v>0</v>
      </c>
      <c r="J310" s="888">
        <v>0</v>
      </c>
      <c r="K310" s="888">
        <v>0</v>
      </c>
      <c r="L310" s="906">
        <v>0</v>
      </c>
      <c r="M310" s="912">
        <v>0</v>
      </c>
      <c r="N310" s="902">
        <f>J310+K310+P310</f>
        <v>0</v>
      </c>
      <c r="O310" s="888">
        <v>0</v>
      </c>
      <c r="P310" s="888">
        <v>0</v>
      </c>
      <c r="Q310" s="888">
        <v>0</v>
      </c>
      <c r="R310" s="903">
        <f t="shared" si="260"/>
        <v>0</v>
      </c>
      <c r="S310" s="2818"/>
      <c r="T310" s="537"/>
    </row>
    <row r="311" spans="1:20" ht="25.5" x14ac:dyDescent="0.2">
      <c r="A311" s="2809" t="s">
        <v>81</v>
      </c>
      <c r="B311" s="910" t="s">
        <v>340</v>
      </c>
      <c r="C311" s="676" t="s">
        <v>225</v>
      </c>
      <c r="D311" s="862"/>
      <c r="E311" s="863"/>
      <c r="F311" s="863"/>
      <c r="G311" s="863"/>
      <c r="H311" s="864"/>
      <c r="I311" s="862"/>
      <c r="J311" s="863"/>
      <c r="K311" s="863"/>
      <c r="L311" s="863"/>
      <c r="M311" s="864"/>
      <c r="N311" s="862"/>
      <c r="O311" s="865"/>
      <c r="P311" s="863"/>
      <c r="Q311" s="865"/>
      <c r="R311" s="863"/>
      <c r="S311" s="2823" t="s">
        <v>45</v>
      </c>
      <c r="T311" s="537"/>
    </row>
    <row r="312" spans="1:20" ht="15" customHeight="1" x14ac:dyDescent="0.2">
      <c r="A312" s="2810"/>
      <c r="B312" s="565" t="s">
        <v>3</v>
      </c>
      <c r="C312" s="566"/>
      <c r="D312" s="817">
        <f t="shared" ref="D312:H312" si="292">+D313+D315</f>
        <v>4559294</v>
      </c>
      <c r="E312" s="815">
        <f t="shared" si="292"/>
        <v>559294</v>
      </c>
      <c r="F312" s="851">
        <f t="shared" si="292"/>
        <v>0</v>
      </c>
      <c r="G312" s="815">
        <f t="shared" si="292"/>
        <v>4000000</v>
      </c>
      <c r="H312" s="851">
        <f t="shared" si="292"/>
        <v>0</v>
      </c>
      <c r="I312" s="817">
        <f t="shared" ref="I312:N312" si="293">+I313+I315</f>
        <v>4559294</v>
      </c>
      <c r="J312" s="815">
        <f t="shared" si="293"/>
        <v>559294</v>
      </c>
      <c r="K312" s="851">
        <f t="shared" si="293"/>
        <v>0</v>
      </c>
      <c r="L312" s="815">
        <f t="shared" si="293"/>
        <v>4000000</v>
      </c>
      <c r="M312" s="852">
        <f t="shared" si="293"/>
        <v>0</v>
      </c>
      <c r="N312" s="817">
        <f t="shared" si="293"/>
        <v>559294</v>
      </c>
      <c r="O312" s="818">
        <f t="shared" si="264"/>
        <v>12.267118549494723</v>
      </c>
      <c r="P312" s="815">
        <f>+P313+P315</f>
        <v>0</v>
      </c>
      <c r="Q312" s="818">
        <f t="shared" si="265"/>
        <v>0</v>
      </c>
      <c r="R312" s="815">
        <f t="shared" si="260"/>
        <v>-4000000</v>
      </c>
      <c r="S312" s="2824"/>
      <c r="T312" s="537"/>
    </row>
    <row r="313" spans="1:20" ht="14.25" customHeight="1" x14ac:dyDescent="0.2">
      <c r="A313" s="2810"/>
      <c r="B313" s="819" t="s">
        <v>18</v>
      </c>
      <c r="C313" s="2771" t="s">
        <v>46</v>
      </c>
      <c r="D313" s="820">
        <f t="shared" ref="D313:N313" si="294">+D314</f>
        <v>4559294</v>
      </c>
      <c r="E313" s="821">
        <f t="shared" si="294"/>
        <v>559294</v>
      </c>
      <c r="F313" s="853">
        <f t="shared" si="294"/>
        <v>0</v>
      </c>
      <c r="G313" s="821">
        <f t="shared" si="294"/>
        <v>4000000</v>
      </c>
      <c r="H313" s="853">
        <f t="shared" si="294"/>
        <v>0</v>
      </c>
      <c r="I313" s="820">
        <f t="shared" si="294"/>
        <v>4559294</v>
      </c>
      <c r="J313" s="821">
        <f t="shared" si="294"/>
        <v>559294</v>
      </c>
      <c r="K313" s="853">
        <f t="shared" si="294"/>
        <v>0</v>
      </c>
      <c r="L313" s="821">
        <f t="shared" si="294"/>
        <v>4000000</v>
      </c>
      <c r="M313" s="854">
        <f t="shared" si="294"/>
        <v>0</v>
      </c>
      <c r="N313" s="820">
        <f t="shared" si="294"/>
        <v>559294</v>
      </c>
      <c r="O313" s="823">
        <f t="shared" si="264"/>
        <v>12.267118549494723</v>
      </c>
      <c r="P313" s="821">
        <f>+P314</f>
        <v>0</v>
      </c>
      <c r="Q313" s="823">
        <f t="shared" si="265"/>
        <v>0</v>
      </c>
      <c r="R313" s="821">
        <f t="shared" si="260"/>
        <v>-4000000</v>
      </c>
      <c r="S313" s="2824"/>
      <c r="T313" s="537"/>
    </row>
    <row r="314" spans="1:20" ht="15" customHeight="1" x14ac:dyDescent="0.2">
      <c r="A314" s="2810"/>
      <c r="B314" s="886" t="s">
        <v>5</v>
      </c>
      <c r="C314" s="2816"/>
      <c r="D314" s="697">
        <f>+E314+F314+G314+H314</f>
        <v>4559294</v>
      </c>
      <c r="E314" s="733">
        <f>315360+243934</f>
        <v>559294</v>
      </c>
      <c r="F314" s="735">
        <v>0</v>
      </c>
      <c r="G314" s="733">
        <v>4000000</v>
      </c>
      <c r="H314" s="735">
        <v>0</v>
      </c>
      <c r="I314" s="697">
        <f>+J314+K314+L314+M314</f>
        <v>4559294</v>
      </c>
      <c r="J314" s="733">
        <f>315360+243934</f>
        <v>559294</v>
      </c>
      <c r="K314" s="735">
        <v>0</v>
      </c>
      <c r="L314" s="733">
        <v>4000000</v>
      </c>
      <c r="M314" s="736">
        <v>0</v>
      </c>
      <c r="N314" s="762">
        <f>J314+K314+P314</f>
        <v>559294</v>
      </c>
      <c r="O314" s="734">
        <f t="shared" si="264"/>
        <v>12.267118549494723</v>
      </c>
      <c r="P314" s="733">
        <v>0</v>
      </c>
      <c r="Q314" s="734">
        <f t="shared" si="265"/>
        <v>0</v>
      </c>
      <c r="R314" s="733">
        <f t="shared" si="260"/>
        <v>-4000000</v>
      </c>
      <c r="S314" s="2824"/>
      <c r="T314" s="537"/>
    </row>
    <row r="315" spans="1:20" ht="15" customHeight="1" x14ac:dyDescent="0.2">
      <c r="A315" s="2810"/>
      <c r="B315" s="703" t="s">
        <v>13</v>
      </c>
      <c r="C315" s="2816"/>
      <c r="D315" s="897">
        <f t="shared" ref="D315:N315" si="295">+D316</f>
        <v>0</v>
      </c>
      <c r="E315" s="706">
        <f t="shared" si="295"/>
        <v>0</v>
      </c>
      <c r="F315" s="706">
        <f t="shared" si="295"/>
        <v>0</v>
      </c>
      <c r="G315" s="706">
        <f t="shared" si="295"/>
        <v>0</v>
      </c>
      <c r="H315" s="913">
        <f t="shared" si="295"/>
        <v>0</v>
      </c>
      <c r="I315" s="897">
        <f t="shared" si="295"/>
        <v>0</v>
      </c>
      <c r="J315" s="706">
        <f t="shared" si="295"/>
        <v>0</v>
      </c>
      <c r="K315" s="706">
        <f t="shared" si="295"/>
        <v>0</v>
      </c>
      <c r="L315" s="706">
        <f t="shared" si="295"/>
        <v>0</v>
      </c>
      <c r="M315" s="913">
        <f t="shared" si="295"/>
        <v>0</v>
      </c>
      <c r="N315" s="897">
        <f t="shared" si="295"/>
        <v>0</v>
      </c>
      <c r="O315" s="706">
        <v>0</v>
      </c>
      <c r="P315" s="706">
        <f>+P316</f>
        <v>0</v>
      </c>
      <c r="Q315" s="706">
        <v>0</v>
      </c>
      <c r="R315" s="706">
        <f t="shared" si="260"/>
        <v>0</v>
      </c>
      <c r="S315" s="2824"/>
      <c r="T315" s="537"/>
    </row>
    <row r="316" spans="1:20" ht="12" customHeight="1" x14ac:dyDescent="0.2">
      <c r="A316" s="2810"/>
      <c r="B316" s="886" t="s">
        <v>15</v>
      </c>
      <c r="C316" s="2816"/>
      <c r="D316" s="709">
        <f>+E316+F316+G316+H316</f>
        <v>0</v>
      </c>
      <c r="E316" s="735">
        <v>0</v>
      </c>
      <c r="F316" s="735">
        <v>0</v>
      </c>
      <c r="G316" s="735">
        <v>0</v>
      </c>
      <c r="H316" s="873">
        <v>0</v>
      </c>
      <c r="I316" s="709">
        <f>+J316+K316+L316+M316</f>
        <v>0</v>
      </c>
      <c r="J316" s="735">
        <v>0</v>
      </c>
      <c r="K316" s="735">
        <v>0</v>
      </c>
      <c r="L316" s="735">
        <v>0</v>
      </c>
      <c r="M316" s="873">
        <v>0</v>
      </c>
      <c r="N316" s="898">
        <f>J316+K316+P316</f>
        <v>0</v>
      </c>
      <c r="O316" s="735">
        <v>0</v>
      </c>
      <c r="P316" s="698">
        <v>0</v>
      </c>
      <c r="Q316" s="735">
        <v>0</v>
      </c>
      <c r="R316" s="735">
        <f t="shared" si="260"/>
        <v>0</v>
      </c>
      <c r="S316" s="2824"/>
      <c r="T316" s="537"/>
    </row>
    <row r="317" spans="1:20" s="726" customFormat="1" ht="15" customHeight="1" x14ac:dyDescent="0.2">
      <c r="A317" s="2811"/>
      <c r="B317" s="565" t="s">
        <v>17</v>
      </c>
      <c r="C317" s="566"/>
      <c r="D317" s="899">
        <f>+D318</f>
        <v>0</v>
      </c>
      <c r="E317" s="827">
        <v>0</v>
      </c>
      <c r="F317" s="827">
        <f t="shared" ref="F317:H318" si="296">+F318</f>
        <v>0</v>
      </c>
      <c r="G317" s="827">
        <f t="shared" si="296"/>
        <v>0</v>
      </c>
      <c r="H317" s="843">
        <f t="shared" si="296"/>
        <v>0</v>
      </c>
      <c r="I317" s="899">
        <f>+I318</f>
        <v>0</v>
      </c>
      <c r="J317" s="827">
        <v>0</v>
      </c>
      <c r="K317" s="827">
        <f t="shared" ref="K317:M318" si="297">+K318</f>
        <v>0</v>
      </c>
      <c r="L317" s="827">
        <f t="shared" si="297"/>
        <v>0</v>
      </c>
      <c r="M317" s="843">
        <f t="shared" si="297"/>
        <v>0</v>
      </c>
      <c r="N317" s="899">
        <f>+N318</f>
        <v>0</v>
      </c>
      <c r="O317" s="827">
        <v>0</v>
      </c>
      <c r="P317" s="827">
        <f>+P318</f>
        <v>0</v>
      </c>
      <c r="Q317" s="827">
        <v>0</v>
      </c>
      <c r="R317" s="827">
        <f t="shared" si="260"/>
        <v>0</v>
      </c>
      <c r="S317" s="2816"/>
      <c r="T317" s="537"/>
    </row>
    <row r="318" spans="1:20" s="877" customFormat="1" ht="12.75" customHeight="1" x14ac:dyDescent="0.2">
      <c r="A318" s="2811"/>
      <c r="B318" s="703" t="s">
        <v>13</v>
      </c>
      <c r="C318" s="2771" t="s">
        <v>42</v>
      </c>
      <c r="D318" s="900">
        <f>+D319</f>
        <v>0</v>
      </c>
      <c r="E318" s="802">
        <v>0</v>
      </c>
      <c r="F318" s="802">
        <f t="shared" si="296"/>
        <v>0</v>
      </c>
      <c r="G318" s="777">
        <f t="shared" si="296"/>
        <v>0</v>
      </c>
      <c r="H318" s="803">
        <f t="shared" si="296"/>
        <v>0</v>
      </c>
      <c r="I318" s="900">
        <f>+I319</f>
        <v>0</v>
      </c>
      <c r="J318" s="802">
        <v>0</v>
      </c>
      <c r="K318" s="802">
        <f t="shared" si="297"/>
        <v>0</v>
      </c>
      <c r="L318" s="777">
        <f t="shared" si="297"/>
        <v>0</v>
      </c>
      <c r="M318" s="803">
        <f t="shared" si="297"/>
        <v>0</v>
      </c>
      <c r="N318" s="900">
        <f>+N319</f>
        <v>0</v>
      </c>
      <c r="O318" s="802">
        <v>0</v>
      </c>
      <c r="P318" s="802">
        <f>+P319</f>
        <v>0</v>
      </c>
      <c r="Q318" s="802">
        <v>0</v>
      </c>
      <c r="R318" s="802">
        <f t="shared" si="260"/>
        <v>0</v>
      </c>
      <c r="S318" s="2816"/>
      <c r="T318" s="537"/>
    </row>
    <row r="319" spans="1:20" s="877" customFormat="1" ht="15" customHeight="1" thickBot="1" x14ac:dyDescent="0.25">
      <c r="A319" s="2812"/>
      <c r="B319" s="887" t="s">
        <v>15</v>
      </c>
      <c r="C319" s="2818"/>
      <c r="D319" s="901">
        <f>+E319+F319+G319+H319</f>
        <v>0</v>
      </c>
      <c r="E319" s="914">
        <v>0</v>
      </c>
      <c r="F319" s="888">
        <v>0</v>
      </c>
      <c r="G319" s="906">
        <v>0</v>
      </c>
      <c r="H319" s="912">
        <v>0</v>
      </c>
      <c r="I319" s="901">
        <f>+J319+K319+L319+M319</f>
        <v>0</v>
      </c>
      <c r="J319" s="914">
        <v>0</v>
      </c>
      <c r="K319" s="888">
        <v>0</v>
      </c>
      <c r="L319" s="906">
        <v>0</v>
      </c>
      <c r="M319" s="912">
        <v>0</v>
      </c>
      <c r="N319" s="902">
        <f>J319+K319+P319</f>
        <v>0</v>
      </c>
      <c r="O319" s="888">
        <v>0</v>
      </c>
      <c r="P319" s="888">
        <v>0</v>
      </c>
      <c r="Q319" s="888">
        <v>0</v>
      </c>
      <c r="R319" s="903">
        <f t="shared" si="260"/>
        <v>0</v>
      </c>
      <c r="S319" s="2818"/>
      <c r="T319" s="537"/>
    </row>
    <row r="320" spans="1:20" ht="25.5" x14ac:dyDescent="0.2">
      <c r="A320" s="2809" t="s">
        <v>82</v>
      </c>
      <c r="B320" s="910" t="s">
        <v>341</v>
      </c>
      <c r="C320" s="676" t="s">
        <v>225</v>
      </c>
      <c r="D320" s="862"/>
      <c r="E320" s="863"/>
      <c r="F320" s="863"/>
      <c r="G320" s="863"/>
      <c r="H320" s="864"/>
      <c r="I320" s="862"/>
      <c r="J320" s="863"/>
      <c r="K320" s="863"/>
      <c r="L320" s="863"/>
      <c r="M320" s="864"/>
      <c r="N320" s="862"/>
      <c r="O320" s="865"/>
      <c r="P320" s="863"/>
      <c r="Q320" s="865"/>
      <c r="R320" s="863"/>
      <c r="S320" s="2823" t="s">
        <v>45</v>
      </c>
      <c r="T320" s="537"/>
    </row>
    <row r="321" spans="1:20" ht="15.75" customHeight="1" x14ac:dyDescent="0.2">
      <c r="A321" s="2810"/>
      <c r="B321" s="565" t="s">
        <v>3</v>
      </c>
      <c r="C321" s="566"/>
      <c r="D321" s="817">
        <f t="shared" ref="D321" si="298">+D322+D324</f>
        <v>2310000</v>
      </c>
      <c r="E321" s="851">
        <v>0</v>
      </c>
      <c r="F321" s="815">
        <f>+F322+F324</f>
        <v>57340</v>
      </c>
      <c r="G321" s="815">
        <f>+G322+G324</f>
        <v>2252660</v>
      </c>
      <c r="H321" s="851">
        <f>+H322+H324</f>
        <v>0</v>
      </c>
      <c r="I321" s="817">
        <f t="shared" ref="I321" si="299">+I322+I324</f>
        <v>2310000</v>
      </c>
      <c r="J321" s="851">
        <v>0</v>
      </c>
      <c r="K321" s="815">
        <f>+K322+K324</f>
        <v>57340</v>
      </c>
      <c r="L321" s="815">
        <f>+L322+L324</f>
        <v>2252660</v>
      </c>
      <c r="M321" s="852">
        <f>+M322+M324</f>
        <v>0</v>
      </c>
      <c r="N321" s="817">
        <f>+N322+N324</f>
        <v>57340</v>
      </c>
      <c r="O321" s="818">
        <f t="shared" si="264"/>
        <v>2.4822510822510822</v>
      </c>
      <c r="P321" s="815">
        <f>+P322+P324</f>
        <v>0</v>
      </c>
      <c r="Q321" s="818">
        <f t="shared" si="265"/>
        <v>0</v>
      </c>
      <c r="R321" s="815">
        <f t="shared" si="260"/>
        <v>-2252660</v>
      </c>
      <c r="S321" s="2824"/>
      <c r="T321" s="537"/>
    </row>
    <row r="322" spans="1:20" ht="14.25" customHeight="1" x14ac:dyDescent="0.2">
      <c r="A322" s="2810"/>
      <c r="B322" s="819" t="s">
        <v>18</v>
      </c>
      <c r="C322" s="2771" t="s">
        <v>46</v>
      </c>
      <c r="D322" s="820">
        <f t="shared" ref="D322:I322" si="300">+D323</f>
        <v>2310000</v>
      </c>
      <c r="E322" s="853">
        <v>0</v>
      </c>
      <c r="F322" s="821">
        <f>+F323</f>
        <v>57340</v>
      </c>
      <c r="G322" s="821">
        <f>+G323</f>
        <v>2252660</v>
      </c>
      <c r="H322" s="853">
        <f>+H323</f>
        <v>0</v>
      </c>
      <c r="I322" s="820">
        <f t="shared" si="300"/>
        <v>2310000</v>
      </c>
      <c r="J322" s="853">
        <v>0</v>
      </c>
      <c r="K322" s="821">
        <f>+K323</f>
        <v>57340</v>
      </c>
      <c r="L322" s="821">
        <f>+L323</f>
        <v>2252660</v>
      </c>
      <c r="M322" s="854">
        <f>+M323</f>
        <v>0</v>
      </c>
      <c r="N322" s="820">
        <f>+N323</f>
        <v>57340</v>
      </c>
      <c r="O322" s="823">
        <f t="shared" si="264"/>
        <v>2.4822510822510822</v>
      </c>
      <c r="P322" s="821">
        <f>+P323</f>
        <v>0</v>
      </c>
      <c r="Q322" s="823">
        <f t="shared" si="265"/>
        <v>0</v>
      </c>
      <c r="R322" s="821">
        <f t="shared" si="260"/>
        <v>-2252660</v>
      </c>
      <c r="S322" s="2824"/>
      <c r="T322" s="537"/>
    </row>
    <row r="323" spans="1:20" ht="14.25" customHeight="1" x14ac:dyDescent="0.2">
      <c r="A323" s="2810"/>
      <c r="B323" s="886" t="s">
        <v>5</v>
      </c>
      <c r="C323" s="2816"/>
      <c r="D323" s="697">
        <f>+E323+F323+G323+H323</f>
        <v>2310000</v>
      </c>
      <c r="E323" s="698">
        <v>0</v>
      </c>
      <c r="F323" s="699">
        <v>57340</v>
      </c>
      <c r="G323" s="699">
        <v>2252660</v>
      </c>
      <c r="H323" s="698">
        <v>0</v>
      </c>
      <c r="I323" s="697">
        <f>+J323+K323+L323+M323</f>
        <v>2310000</v>
      </c>
      <c r="J323" s="698">
        <v>0</v>
      </c>
      <c r="K323" s="699">
        <v>57340</v>
      </c>
      <c r="L323" s="699">
        <v>2252660</v>
      </c>
      <c r="M323" s="700">
        <v>0</v>
      </c>
      <c r="N323" s="762">
        <f>J323+K323+P323</f>
        <v>57340</v>
      </c>
      <c r="O323" s="702">
        <f t="shared" si="264"/>
        <v>2.4822510822510822</v>
      </c>
      <c r="P323" s="733">
        <v>0</v>
      </c>
      <c r="Q323" s="702">
        <f t="shared" si="265"/>
        <v>0</v>
      </c>
      <c r="R323" s="733">
        <f t="shared" si="260"/>
        <v>-2252660</v>
      </c>
      <c r="S323" s="2824"/>
      <c r="T323" s="537"/>
    </row>
    <row r="324" spans="1:20" ht="14.25" customHeight="1" x14ac:dyDescent="0.2">
      <c r="A324" s="2810"/>
      <c r="B324" s="703" t="s">
        <v>13</v>
      </c>
      <c r="C324" s="2816"/>
      <c r="D324" s="897">
        <f t="shared" ref="D324:I324" si="301">+D325</f>
        <v>0</v>
      </c>
      <c r="E324" s="706">
        <v>0</v>
      </c>
      <c r="F324" s="706">
        <f>+F325</f>
        <v>0</v>
      </c>
      <c r="G324" s="706">
        <f>+G325</f>
        <v>0</v>
      </c>
      <c r="H324" s="913">
        <f>+H325</f>
        <v>0</v>
      </c>
      <c r="I324" s="897">
        <f t="shared" si="301"/>
        <v>0</v>
      </c>
      <c r="J324" s="706">
        <v>0</v>
      </c>
      <c r="K324" s="706">
        <f>+K325</f>
        <v>0</v>
      </c>
      <c r="L324" s="706">
        <f>+L325</f>
        <v>0</v>
      </c>
      <c r="M324" s="913">
        <f>+M325</f>
        <v>0</v>
      </c>
      <c r="N324" s="897">
        <f>+N325</f>
        <v>0</v>
      </c>
      <c r="O324" s="706">
        <v>0</v>
      </c>
      <c r="P324" s="706">
        <f>+P325</f>
        <v>0</v>
      </c>
      <c r="Q324" s="706">
        <v>0</v>
      </c>
      <c r="R324" s="706">
        <f t="shared" si="260"/>
        <v>0</v>
      </c>
      <c r="S324" s="2824"/>
      <c r="T324" s="537"/>
    </row>
    <row r="325" spans="1:20" ht="14.25" customHeight="1" x14ac:dyDescent="0.2">
      <c r="A325" s="2810"/>
      <c r="B325" s="886" t="s">
        <v>15</v>
      </c>
      <c r="C325" s="2816"/>
      <c r="D325" s="709">
        <f>+E325+F325+G325+H325</f>
        <v>0</v>
      </c>
      <c r="E325" s="698">
        <v>0</v>
      </c>
      <c r="F325" s="698">
        <f>163508-163508</f>
        <v>0</v>
      </c>
      <c r="G325" s="698">
        <v>0</v>
      </c>
      <c r="H325" s="807">
        <v>0</v>
      </c>
      <c r="I325" s="709">
        <f>+J325+K325+L325+M325</f>
        <v>0</v>
      </c>
      <c r="J325" s="698">
        <v>0</v>
      </c>
      <c r="K325" s="698">
        <f>163508-163508</f>
        <v>0</v>
      </c>
      <c r="L325" s="698">
        <v>0</v>
      </c>
      <c r="M325" s="807">
        <v>0</v>
      </c>
      <c r="N325" s="898">
        <f>J325+K325+P325</f>
        <v>0</v>
      </c>
      <c r="O325" s="698">
        <v>0</v>
      </c>
      <c r="P325" s="698">
        <v>0</v>
      </c>
      <c r="Q325" s="698">
        <v>0</v>
      </c>
      <c r="R325" s="735">
        <f t="shared" si="260"/>
        <v>0</v>
      </c>
      <c r="S325" s="2824"/>
      <c r="T325" s="537"/>
    </row>
    <row r="326" spans="1:20" s="726" customFormat="1" ht="14.25" customHeight="1" x14ac:dyDescent="0.2">
      <c r="A326" s="2811"/>
      <c r="B326" s="565" t="s">
        <v>17</v>
      </c>
      <c r="C326" s="566"/>
      <c r="D326" s="899">
        <f>+D327</f>
        <v>0</v>
      </c>
      <c r="E326" s="827">
        <v>0</v>
      </c>
      <c r="F326" s="827">
        <f t="shared" ref="F326:H327" si="302">+F327</f>
        <v>0</v>
      </c>
      <c r="G326" s="827">
        <f t="shared" si="302"/>
        <v>0</v>
      </c>
      <c r="H326" s="915">
        <f t="shared" si="302"/>
        <v>0</v>
      </c>
      <c r="I326" s="899">
        <f>+I327</f>
        <v>0</v>
      </c>
      <c r="J326" s="827">
        <v>0</v>
      </c>
      <c r="K326" s="827">
        <f t="shared" ref="K326:M327" si="303">+K327</f>
        <v>0</v>
      </c>
      <c r="L326" s="827">
        <f t="shared" si="303"/>
        <v>0</v>
      </c>
      <c r="M326" s="915">
        <f t="shared" si="303"/>
        <v>0</v>
      </c>
      <c r="N326" s="899">
        <f>+N327</f>
        <v>0</v>
      </c>
      <c r="O326" s="827">
        <v>0</v>
      </c>
      <c r="P326" s="827">
        <f>+P327</f>
        <v>0</v>
      </c>
      <c r="Q326" s="827">
        <v>0</v>
      </c>
      <c r="R326" s="827">
        <f t="shared" si="260"/>
        <v>0</v>
      </c>
      <c r="S326" s="2816"/>
      <c r="T326" s="537"/>
    </row>
    <row r="327" spans="1:20" s="877" customFormat="1" ht="14.25" customHeight="1" x14ac:dyDescent="0.2">
      <c r="A327" s="2811"/>
      <c r="B327" s="703" t="s">
        <v>13</v>
      </c>
      <c r="C327" s="2771" t="s">
        <v>42</v>
      </c>
      <c r="D327" s="900">
        <f>+D328</f>
        <v>0</v>
      </c>
      <c r="E327" s="802">
        <v>0</v>
      </c>
      <c r="F327" s="802">
        <f t="shared" si="302"/>
        <v>0</v>
      </c>
      <c r="G327" s="802">
        <f t="shared" si="302"/>
        <v>0</v>
      </c>
      <c r="H327" s="916">
        <f t="shared" si="302"/>
        <v>0</v>
      </c>
      <c r="I327" s="900">
        <f>+I328</f>
        <v>0</v>
      </c>
      <c r="J327" s="802">
        <v>0</v>
      </c>
      <c r="K327" s="802">
        <f t="shared" si="303"/>
        <v>0</v>
      </c>
      <c r="L327" s="802">
        <f t="shared" si="303"/>
        <v>0</v>
      </c>
      <c r="M327" s="916">
        <f t="shared" si="303"/>
        <v>0</v>
      </c>
      <c r="N327" s="900">
        <f>+N328</f>
        <v>0</v>
      </c>
      <c r="O327" s="802">
        <v>0</v>
      </c>
      <c r="P327" s="802">
        <f>+P328</f>
        <v>0</v>
      </c>
      <c r="Q327" s="802">
        <v>0</v>
      </c>
      <c r="R327" s="802">
        <f t="shared" ref="R327:R358" si="304">+P327-L327</f>
        <v>0</v>
      </c>
      <c r="S327" s="2816"/>
      <c r="T327" s="537"/>
    </row>
    <row r="328" spans="1:20" s="877" customFormat="1" ht="14.25" customHeight="1" thickBot="1" x14ac:dyDescent="0.25">
      <c r="A328" s="2812"/>
      <c r="B328" s="887" t="s">
        <v>15</v>
      </c>
      <c r="C328" s="2818"/>
      <c r="D328" s="901">
        <f>+E328+F328+G328+H328</f>
        <v>0</v>
      </c>
      <c r="E328" s="888">
        <v>0</v>
      </c>
      <c r="F328" s="888">
        <v>0</v>
      </c>
      <c r="G328" s="888">
        <v>0</v>
      </c>
      <c r="H328" s="917">
        <v>0</v>
      </c>
      <c r="I328" s="901">
        <f>+J328+K328+L328+M328</f>
        <v>0</v>
      </c>
      <c r="J328" s="888">
        <v>0</v>
      </c>
      <c r="K328" s="888">
        <v>0</v>
      </c>
      <c r="L328" s="888">
        <v>0</v>
      </c>
      <c r="M328" s="917">
        <v>0</v>
      </c>
      <c r="N328" s="902">
        <f>J328+K328+P328</f>
        <v>0</v>
      </c>
      <c r="O328" s="888">
        <v>0</v>
      </c>
      <c r="P328" s="888">
        <v>0</v>
      </c>
      <c r="Q328" s="888">
        <v>0</v>
      </c>
      <c r="R328" s="903">
        <f t="shared" si="304"/>
        <v>0</v>
      </c>
      <c r="S328" s="2818"/>
      <c r="T328" s="537"/>
    </row>
    <row r="329" spans="1:20" ht="27.75" customHeight="1" x14ac:dyDescent="0.2">
      <c r="A329" s="2809" t="s">
        <v>83</v>
      </c>
      <c r="B329" s="746" t="s">
        <v>85</v>
      </c>
      <c r="C329" s="676" t="s">
        <v>225</v>
      </c>
      <c r="D329" s="862"/>
      <c r="E329" s="863"/>
      <c r="F329" s="863"/>
      <c r="G329" s="863"/>
      <c r="H329" s="864"/>
      <c r="I329" s="862"/>
      <c r="J329" s="863"/>
      <c r="K329" s="863"/>
      <c r="L329" s="863"/>
      <c r="M329" s="864"/>
      <c r="N329" s="862"/>
      <c r="O329" s="865"/>
      <c r="P329" s="863"/>
      <c r="Q329" s="865"/>
      <c r="R329" s="863"/>
      <c r="S329" s="2823" t="s">
        <v>45</v>
      </c>
      <c r="T329" s="537"/>
    </row>
    <row r="330" spans="1:20" ht="14.25" customHeight="1" x14ac:dyDescent="0.2">
      <c r="A330" s="2810"/>
      <c r="B330" s="565" t="s">
        <v>3</v>
      </c>
      <c r="C330" s="566"/>
      <c r="D330" s="817">
        <f t="shared" ref="D330:H330" si="305">+D331+D333</f>
        <v>9796068</v>
      </c>
      <c r="E330" s="815">
        <f t="shared" si="305"/>
        <v>6341500</v>
      </c>
      <c r="F330" s="815">
        <f t="shared" si="305"/>
        <v>3454568</v>
      </c>
      <c r="G330" s="851">
        <f t="shared" si="305"/>
        <v>0</v>
      </c>
      <c r="H330" s="918">
        <f t="shared" si="305"/>
        <v>0</v>
      </c>
      <c r="I330" s="817">
        <f t="shared" ref="I330:N330" si="306">+I331+I333</f>
        <v>9796067.5700000003</v>
      </c>
      <c r="J330" s="815">
        <f t="shared" si="306"/>
        <v>6341500</v>
      </c>
      <c r="K330" s="815">
        <f>+K331+K333</f>
        <v>3454567.5700000003</v>
      </c>
      <c r="L330" s="851">
        <f t="shared" si="306"/>
        <v>0</v>
      </c>
      <c r="M330" s="918">
        <f t="shared" si="306"/>
        <v>0</v>
      </c>
      <c r="N330" s="817">
        <f t="shared" si="306"/>
        <v>9796067.5700000003</v>
      </c>
      <c r="O330" s="818">
        <f t="shared" si="264"/>
        <v>99.999995610483722</v>
      </c>
      <c r="P330" s="851">
        <f>+P331+P333</f>
        <v>0</v>
      </c>
      <c r="Q330" s="851">
        <v>0</v>
      </c>
      <c r="R330" s="815">
        <f t="shared" si="304"/>
        <v>0</v>
      </c>
      <c r="S330" s="2824"/>
      <c r="T330" s="537"/>
    </row>
    <row r="331" spans="1:20" ht="14.25" customHeight="1" x14ac:dyDescent="0.2">
      <c r="A331" s="2810"/>
      <c r="B331" s="819" t="s">
        <v>18</v>
      </c>
      <c r="C331" s="2771" t="s">
        <v>46</v>
      </c>
      <c r="D331" s="820">
        <f t="shared" ref="D331:N331" si="307">+D332</f>
        <v>2660258</v>
      </c>
      <c r="E331" s="821">
        <f t="shared" si="307"/>
        <v>1589089</v>
      </c>
      <c r="F331" s="821">
        <f t="shared" si="307"/>
        <v>1071169</v>
      </c>
      <c r="G331" s="853">
        <f t="shared" si="307"/>
        <v>0</v>
      </c>
      <c r="H331" s="919">
        <f t="shared" si="307"/>
        <v>0</v>
      </c>
      <c r="I331" s="820">
        <f t="shared" si="307"/>
        <v>2660257.2599999998</v>
      </c>
      <c r="J331" s="821">
        <f t="shared" si="307"/>
        <v>1589089</v>
      </c>
      <c r="K331" s="821">
        <f>+K332</f>
        <v>1071168.26</v>
      </c>
      <c r="L331" s="853">
        <f t="shared" si="307"/>
        <v>0</v>
      </c>
      <c r="M331" s="919">
        <f t="shared" si="307"/>
        <v>0</v>
      </c>
      <c r="N331" s="820">
        <f t="shared" si="307"/>
        <v>2660257.2599999998</v>
      </c>
      <c r="O331" s="823">
        <f t="shared" si="264"/>
        <v>99.99997218314914</v>
      </c>
      <c r="P331" s="853">
        <f>+P332</f>
        <v>0</v>
      </c>
      <c r="Q331" s="853">
        <v>0</v>
      </c>
      <c r="R331" s="821">
        <f t="shared" si="304"/>
        <v>0</v>
      </c>
      <c r="S331" s="2824"/>
      <c r="T331" s="537"/>
    </row>
    <row r="332" spans="1:20" ht="14.25" customHeight="1" x14ac:dyDescent="0.2">
      <c r="A332" s="2810"/>
      <c r="B332" s="696" t="s">
        <v>5</v>
      </c>
      <c r="C332" s="2816"/>
      <c r="D332" s="697">
        <f>+E332+F332+G332+H332</f>
        <v>2660258</v>
      </c>
      <c r="E332" s="699">
        <f>19885+154542+1414662</f>
        <v>1589089</v>
      </c>
      <c r="F332" s="699">
        <v>1071169</v>
      </c>
      <c r="G332" s="698">
        <v>0</v>
      </c>
      <c r="H332" s="807">
        <v>0</v>
      </c>
      <c r="I332" s="697">
        <f>+J332+K332+L332+M332</f>
        <v>2660257.2599999998</v>
      </c>
      <c r="J332" s="699">
        <f>19885+154542+1414662</f>
        <v>1589089</v>
      </c>
      <c r="K332" s="699">
        <v>1071168.26</v>
      </c>
      <c r="L332" s="698">
        <v>0</v>
      </c>
      <c r="M332" s="807">
        <v>0</v>
      </c>
      <c r="N332" s="762">
        <f>J332+K332+P332</f>
        <v>2660257.2599999998</v>
      </c>
      <c r="O332" s="702">
        <f t="shared" ref="O332:O395" si="308">N332/D332*100</f>
        <v>99.99997218314914</v>
      </c>
      <c r="P332" s="698">
        <v>0</v>
      </c>
      <c r="Q332" s="698">
        <v>0</v>
      </c>
      <c r="R332" s="733">
        <f t="shared" si="304"/>
        <v>0</v>
      </c>
      <c r="S332" s="2824"/>
      <c r="T332" s="537"/>
    </row>
    <row r="333" spans="1:20" ht="14.25" customHeight="1" x14ac:dyDescent="0.2">
      <c r="A333" s="2810"/>
      <c r="B333" s="703" t="s">
        <v>13</v>
      </c>
      <c r="C333" s="2816"/>
      <c r="D333" s="704">
        <f t="shared" ref="D333:N333" si="309">+D334</f>
        <v>7135810</v>
      </c>
      <c r="E333" s="705">
        <f t="shared" si="309"/>
        <v>4752411</v>
      </c>
      <c r="F333" s="705">
        <f t="shared" si="309"/>
        <v>2383399</v>
      </c>
      <c r="G333" s="706">
        <f t="shared" si="309"/>
        <v>0</v>
      </c>
      <c r="H333" s="913">
        <f t="shared" si="309"/>
        <v>0</v>
      </c>
      <c r="I333" s="704">
        <f t="shared" si="309"/>
        <v>7135810.3100000005</v>
      </c>
      <c r="J333" s="705">
        <f t="shared" si="309"/>
        <v>4752411</v>
      </c>
      <c r="K333" s="705">
        <f>+K334</f>
        <v>2383399.31</v>
      </c>
      <c r="L333" s="706">
        <f t="shared" si="309"/>
        <v>0</v>
      </c>
      <c r="M333" s="913">
        <f t="shared" si="309"/>
        <v>0</v>
      </c>
      <c r="N333" s="704">
        <f t="shared" si="309"/>
        <v>7135810.3100000005</v>
      </c>
      <c r="O333" s="708">
        <f t="shared" si="308"/>
        <v>100.00000434428608</v>
      </c>
      <c r="P333" s="706">
        <f>+P334</f>
        <v>0</v>
      </c>
      <c r="Q333" s="706">
        <v>0</v>
      </c>
      <c r="R333" s="705">
        <f t="shared" si="304"/>
        <v>0</v>
      </c>
      <c r="S333" s="2824"/>
      <c r="T333" s="537"/>
    </row>
    <row r="334" spans="1:20" ht="14.25" customHeight="1" x14ac:dyDescent="0.2">
      <c r="A334" s="2810"/>
      <c r="B334" s="696" t="s">
        <v>15</v>
      </c>
      <c r="C334" s="2816"/>
      <c r="D334" s="697">
        <f>+E334+F334+G334+H334</f>
        <v>7135810</v>
      </c>
      <c r="E334" s="699">
        <f>1506+450667+4300238</f>
        <v>4752411</v>
      </c>
      <c r="F334" s="699">
        <v>2383399</v>
      </c>
      <c r="G334" s="698">
        <v>0</v>
      </c>
      <c r="H334" s="807">
        <v>0</v>
      </c>
      <c r="I334" s="697">
        <f>+J334+K334+L334+M334</f>
        <v>7135810.3100000005</v>
      </c>
      <c r="J334" s="699">
        <f>1506+450667+4300238</f>
        <v>4752411</v>
      </c>
      <c r="K334" s="699">
        <v>2383399.31</v>
      </c>
      <c r="L334" s="698">
        <v>0</v>
      </c>
      <c r="M334" s="807">
        <v>0</v>
      </c>
      <c r="N334" s="762">
        <f>J334+K334+P334</f>
        <v>7135810.3100000005</v>
      </c>
      <c r="O334" s="702">
        <f t="shared" si="308"/>
        <v>100.00000434428608</v>
      </c>
      <c r="P334" s="698">
        <v>0</v>
      </c>
      <c r="Q334" s="698">
        <v>0</v>
      </c>
      <c r="R334" s="733">
        <f t="shared" si="304"/>
        <v>0</v>
      </c>
      <c r="S334" s="2824"/>
      <c r="T334" s="537"/>
    </row>
    <row r="335" spans="1:20" s="726" customFormat="1" ht="14.25" customHeight="1" x14ac:dyDescent="0.2">
      <c r="A335" s="2811"/>
      <c r="B335" s="565" t="s">
        <v>17</v>
      </c>
      <c r="C335" s="566"/>
      <c r="D335" s="826">
        <f>+D336</f>
        <v>7135810</v>
      </c>
      <c r="E335" s="828">
        <f t="shared" ref="E335:H336" si="310">+E336</f>
        <v>4280872</v>
      </c>
      <c r="F335" s="828">
        <f t="shared" si="310"/>
        <v>2497377</v>
      </c>
      <c r="G335" s="828">
        <f t="shared" si="310"/>
        <v>357561</v>
      </c>
      <c r="H335" s="915">
        <f t="shared" si="310"/>
        <v>0</v>
      </c>
      <c r="I335" s="826">
        <f>+I336</f>
        <v>7135810</v>
      </c>
      <c r="J335" s="828">
        <f t="shared" ref="J335:M336" si="311">+J336</f>
        <v>4280872</v>
      </c>
      <c r="K335" s="828">
        <f>+K336</f>
        <v>2497377</v>
      </c>
      <c r="L335" s="828">
        <f t="shared" si="311"/>
        <v>357561</v>
      </c>
      <c r="M335" s="915">
        <f t="shared" si="311"/>
        <v>0</v>
      </c>
      <c r="N335" s="826">
        <f>+N336</f>
        <v>7133763</v>
      </c>
      <c r="O335" s="830">
        <f t="shared" si="308"/>
        <v>99.971313698094548</v>
      </c>
      <c r="P335" s="828">
        <f>+P336</f>
        <v>355514</v>
      </c>
      <c r="Q335" s="830">
        <f t="shared" ref="Q335:Q395" si="312">P335/G335*100</f>
        <v>99.427510270974736</v>
      </c>
      <c r="R335" s="828">
        <f t="shared" si="304"/>
        <v>-2047</v>
      </c>
      <c r="S335" s="2816"/>
      <c r="T335" s="537"/>
    </row>
    <row r="336" spans="1:20" s="877" customFormat="1" ht="14.25" customHeight="1" x14ac:dyDescent="0.2">
      <c r="A336" s="2811"/>
      <c r="B336" s="703" t="s">
        <v>13</v>
      </c>
      <c r="C336" s="2771" t="s">
        <v>42</v>
      </c>
      <c r="D336" s="774">
        <f>+D337</f>
        <v>7135810</v>
      </c>
      <c r="E336" s="776">
        <f t="shared" si="310"/>
        <v>4280872</v>
      </c>
      <c r="F336" s="776">
        <f t="shared" si="310"/>
        <v>2497377</v>
      </c>
      <c r="G336" s="775">
        <f t="shared" si="310"/>
        <v>357561</v>
      </c>
      <c r="H336" s="916">
        <f t="shared" si="310"/>
        <v>0</v>
      </c>
      <c r="I336" s="774">
        <f>+I337</f>
        <v>7135810</v>
      </c>
      <c r="J336" s="776">
        <f t="shared" si="311"/>
        <v>4280872</v>
      </c>
      <c r="K336" s="776">
        <f>+K337</f>
        <v>2497377</v>
      </c>
      <c r="L336" s="775">
        <f t="shared" si="311"/>
        <v>357561</v>
      </c>
      <c r="M336" s="916">
        <f t="shared" si="311"/>
        <v>0</v>
      </c>
      <c r="N336" s="774">
        <f>+N337</f>
        <v>7133763</v>
      </c>
      <c r="O336" s="779">
        <f t="shared" si="308"/>
        <v>99.971313698094548</v>
      </c>
      <c r="P336" s="775">
        <f>+P337</f>
        <v>355514</v>
      </c>
      <c r="Q336" s="779">
        <f t="shared" si="312"/>
        <v>99.427510270974736</v>
      </c>
      <c r="R336" s="775">
        <f t="shared" si="304"/>
        <v>-2047</v>
      </c>
      <c r="S336" s="2816"/>
      <c r="T336" s="537"/>
    </row>
    <row r="337" spans="1:20" s="726" customFormat="1" ht="14.25" customHeight="1" thickBot="1" x14ac:dyDescent="0.25">
      <c r="A337" s="2812"/>
      <c r="B337" s="780" t="s">
        <v>15</v>
      </c>
      <c r="C337" s="2818"/>
      <c r="D337" s="718">
        <f>+E337+F337+G337+H337</f>
        <v>7135810</v>
      </c>
      <c r="E337" s="905">
        <v>4280872</v>
      </c>
      <c r="F337" s="905">
        <v>2497377</v>
      </c>
      <c r="G337" s="889">
        <v>357561</v>
      </c>
      <c r="H337" s="917">
        <v>0</v>
      </c>
      <c r="I337" s="718">
        <f>+J337+K337+L337+M337</f>
        <v>7135810</v>
      </c>
      <c r="J337" s="905">
        <v>4280872</v>
      </c>
      <c r="K337" s="905">
        <v>2497377</v>
      </c>
      <c r="L337" s="889">
        <v>357561</v>
      </c>
      <c r="M337" s="917">
        <v>0</v>
      </c>
      <c r="N337" s="784">
        <f>J337+K337+P337</f>
        <v>7133763</v>
      </c>
      <c r="O337" s="908">
        <f t="shared" si="308"/>
        <v>99.971313698094548</v>
      </c>
      <c r="P337" s="781">
        <v>355514</v>
      </c>
      <c r="Q337" s="908">
        <f t="shared" si="312"/>
        <v>99.427510270974736</v>
      </c>
      <c r="R337" s="786">
        <f t="shared" si="304"/>
        <v>-2047</v>
      </c>
      <c r="S337" s="2818"/>
      <c r="T337" s="537"/>
    </row>
    <row r="338" spans="1:20" ht="27.75" customHeight="1" x14ac:dyDescent="0.2">
      <c r="A338" s="2809" t="s">
        <v>84</v>
      </c>
      <c r="B338" s="746" t="s">
        <v>87</v>
      </c>
      <c r="C338" s="676" t="s">
        <v>225</v>
      </c>
      <c r="D338" s="680"/>
      <c r="E338" s="678"/>
      <c r="F338" s="678"/>
      <c r="G338" s="678"/>
      <c r="H338" s="679"/>
      <c r="I338" s="680"/>
      <c r="J338" s="678"/>
      <c r="K338" s="678"/>
      <c r="L338" s="678"/>
      <c r="M338" s="679"/>
      <c r="N338" s="680"/>
      <c r="O338" s="681"/>
      <c r="P338" s="678"/>
      <c r="Q338" s="681"/>
      <c r="R338" s="678"/>
      <c r="S338" s="2823" t="s">
        <v>45</v>
      </c>
      <c r="T338" s="537"/>
    </row>
    <row r="339" spans="1:20" ht="13.5" customHeight="1" x14ac:dyDescent="0.2">
      <c r="A339" s="2810"/>
      <c r="B339" s="565" t="s">
        <v>3</v>
      </c>
      <c r="C339" s="566"/>
      <c r="D339" s="920">
        <f t="shared" ref="D339:H339" si="313">+D340+D342</f>
        <v>4729539</v>
      </c>
      <c r="E339" s="921">
        <f t="shared" si="313"/>
        <v>3322187</v>
      </c>
      <c r="F339" s="921">
        <f t="shared" si="313"/>
        <v>1407352</v>
      </c>
      <c r="G339" s="922">
        <f t="shared" si="313"/>
        <v>0</v>
      </c>
      <c r="H339" s="923">
        <f t="shared" si="313"/>
        <v>0</v>
      </c>
      <c r="I339" s="920">
        <f t="shared" ref="I339:N339" si="314">+I340+I342</f>
        <v>4729538.7300000004</v>
      </c>
      <c r="J339" s="921">
        <f t="shared" si="314"/>
        <v>3322187</v>
      </c>
      <c r="K339" s="921">
        <f>+K340+K342</f>
        <v>1407351.73</v>
      </c>
      <c r="L339" s="922">
        <f t="shared" si="314"/>
        <v>0</v>
      </c>
      <c r="M339" s="923">
        <f t="shared" si="314"/>
        <v>0</v>
      </c>
      <c r="N339" s="920">
        <f t="shared" si="314"/>
        <v>4729538.7300000004</v>
      </c>
      <c r="O339" s="924">
        <f t="shared" si="308"/>
        <v>99.999994291198362</v>
      </c>
      <c r="P339" s="922">
        <f>+P340+P342</f>
        <v>0</v>
      </c>
      <c r="Q339" s="922">
        <v>0</v>
      </c>
      <c r="R339" s="921">
        <f t="shared" si="304"/>
        <v>0</v>
      </c>
      <c r="S339" s="2824"/>
      <c r="T339" s="537"/>
    </row>
    <row r="340" spans="1:20" ht="13.5" customHeight="1" x14ac:dyDescent="0.2">
      <c r="A340" s="2810"/>
      <c r="B340" s="925" t="s">
        <v>18</v>
      </c>
      <c r="C340" s="2771" t="s">
        <v>46</v>
      </c>
      <c r="D340" s="820">
        <f t="shared" ref="D340:N340" si="315">+D341</f>
        <v>2287125</v>
      </c>
      <c r="E340" s="821">
        <f t="shared" si="315"/>
        <v>1628281</v>
      </c>
      <c r="F340" s="821">
        <f t="shared" si="315"/>
        <v>658844</v>
      </c>
      <c r="G340" s="853">
        <f t="shared" si="315"/>
        <v>0</v>
      </c>
      <c r="H340" s="919">
        <f t="shared" si="315"/>
        <v>0</v>
      </c>
      <c r="I340" s="820">
        <f t="shared" si="315"/>
        <v>2287124.25</v>
      </c>
      <c r="J340" s="821">
        <f t="shared" si="315"/>
        <v>1628281</v>
      </c>
      <c r="K340" s="821">
        <f>+K341</f>
        <v>658843.25</v>
      </c>
      <c r="L340" s="853">
        <f t="shared" si="315"/>
        <v>0</v>
      </c>
      <c r="M340" s="919">
        <f t="shared" si="315"/>
        <v>0</v>
      </c>
      <c r="N340" s="820">
        <f t="shared" si="315"/>
        <v>2287124.25</v>
      </c>
      <c r="O340" s="823">
        <f t="shared" si="308"/>
        <v>99.999967207738976</v>
      </c>
      <c r="P340" s="853">
        <f>+P341</f>
        <v>0</v>
      </c>
      <c r="Q340" s="853">
        <v>0</v>
      </c>
      <c r="R340" s="821">
        <f t="shared" si="304"/>
        <v>0</v>
      </c>
      <c r="S340" s="2824"/>
      <c r="T340" s="537"/>
    </row>
    <row r="341" spans="1:20" ht="13.5" customHeight="1" x14ac:dyDescent="0.2">
      <c r="A341" s="2810"/>
      <c r="B341" s="696" t="s">
        <v>5</v>
      </c>
      <c r="C341" s="2816"/>
      <c r="D341" s="697">
        <f>+E341+F341+G341+H341</f>
        <v>2287125</v>
      </c>
      <c r="E341" s="699">
        <f>401516-97158+1323923</f>
        <v>1628281</v>
      </c>
      <c r="F341" s="699">
        <v>658844</v>
      </c>
      <c r="G341" s="698">
        <v>0</v>
      </c>
      <c r="H341" s="807">
        <v>0</v>
      </c>
      <c r="I341" s="697">
        <f>+J341+K341+L341+M341</f>
        <v>2287124.25</v>
      </c>
      <c r="J341" s="699">
        <f>401516-97158+1323923</f>
        <v>1628281</v>
      </c>
      <c r="K341" s="699">
        <v>658843.25</v>
      </c>
      <c r="L341" s="698">
        <v>0</v>
      </c>
      <c r="M341" s="807">
        <v>0</v>
      </c>
      <c r="N341" s="762">
        <f>J341+K341+P341</f>
        <v>2287124.25</v>
      </c>
      <c r="O341" s="702">
        <f t="shared" si="308"/>
        <v>99.999967207738976</v>
      </c>
      <c r="P341" s="698">
        <v>0</v>
      </c>
      <c r="Q341" s="698">
        <v>0</v>
      </c>
      <c r="R341" s="733">
        <f t="shared" si="304"/>
        <v>0</v>
      </c>
      <c r="S341" s="2824"/>
      <c r="T341" s="537"/>
    </row>
    <row r="342" spans="1:20" ht="13.5" customHeight="1" x14ac:dyDescent="0.2">
      <c r="A342" s="2810"/>
      <c r="B342" s="492" t="s">
        <v>13</v>
      </c>
      <c r="C342" s="2816"/>
      <c r="D342" s="704">
        <f t="shared" ref="D342:N342" si="316">+D343</f>
        <v>2442414</v>
      </c>
      <c r="E342" s="705">
        <f t="shared" si="316"/>
        <v>1693906</v>
      </c>
      <c r="F342" s="705">
        <f t="shared" si="316"/>
        <v>748508</v>
      </c>
      <c r="G342" s="706">
        <f t="shared" si="316"/>
        <v>0</v>
      </c>
      <c r="H342" s="913">
        <f t="shared" si="316"/>
        <v>0</v>
      </c>
      <c r="I342" s="704">
        <f t="shared" si="316"/>
        <v>2442414.48</v>
      </c>
      <c r="J342" s="705">
        <f t="shared" si="316"/>
        <v>1693906</v>
      </c>
      <c r="K342" s="705">
        <f>+K343</f>
        <v>748508.48</v>
      </c>
      <c r="L342" s="706">
        <f t="shared" si="316"/>
        <v>0</v>
      </c>
      <c r="M342" s="913">
        <f t="shared" si="316"/>
        <v>0</v>
      </c>
      <c r="N342" s="704">
        <f t="shared" si="316"/>
        <v>2442414.48</v>
      </c>
      <c r="O342" s="708">
        <f t="shared" si="308"/>
        <v>100.00001965268788</v>
      </c>
      <c r="P342" s="706">
        <f>+P343</f>
        <v>0</v>
      </c>
      <c r="Q342" s="706">
        <v>0</v>
      </c>
      <c r="R342" s="705">
        <f t="shared" si="304"/>
        <v>0</v>
      </c>
      <c r="S342" s="2824"/>
      <c r="T342" s="537"/>
    </row>
    <row r="343" spans="1:20" ht="13.5" customHeight="1" x14ac:dyDescent="0.2">
      <c r="A343" s="2810"/>
      <c r="B343" s="696" t="s">
        <v>15</v>
      </c>
      <c r="C343" s="2816"/>
      <c r="D343" s="697">
        <f>+E343+F343+G343+H343</f>
        <v>2442414</v>
      </c>
      <c r="E343" s="699">
        <f>474774-114885+1334017</f>
        <v>1693906</v>
      </c>
      <c r="F343" s="699">
        <v>748508</v>
      </c>
      <c r="G343" s="698">
        <v>0</v>
      </c>
      <c r="H343" s="807">
        <v>0</v>
      </c>
      <c r="I343" s="697">
        <f>+J343+K343+L343+M343</f>
        <v>2442414.48</v>
      </c>
      <c r="J343" s="699">
        <f>474774-114885+1334017</f>
        <v>1693906</v>
      </c>
      <c r="K343" s="699">
        <v>748508.48</v>
      </c>
      <c r="L343" s="698">
        <v>0</v>
      </c>
      <c r="M343" s="807">
        <v>0</v>
      </c>
      <c r="N343" s="762">
        <f>J343+K343+P343</f>
        <v>2442414.48</v>
      </c>
      <c r="O343" s="702">
        <f t="shared" si="308"/>
        <v>100.00001965268788</v>
      </c>
      <c r="P343" s="698">
        <v>0</v>
      </c>
      <c r="Q343" s="698">
        <v>0</v>
      </c>
      <c r="R343" s="733">
        <f t="shared" si="304"/>
        <v>0</v>
      </c>
      <c r="S343" s="2824"/>
      <c r="T343" s="537"/>
    </row>
    <row r="344" spans="1:20" s="726" customFormat="1" ht="13.5" customHeight="1" x14ac:dyDescent="0.2">
      <c r="A344" s="2811"/>
      <c r="B344" s="565" t="s">
        <v>17</v>
      </c>
      <c r="C344" s="566"/>
      <c r="D344" s="826">
        <f t="shared" ref="D344:F345" si="317">+D345</f>
        <v>2442414</v>
      </c>
      <c r="E344" s="828">
        <f t="shared" si="317"/>
        <v>1644009</v>
      </c>
      <c r="F344" s="828">
        <f t="shared" si="317"/>
        <v>668373</v>
      </c>
      <c r="G344" s="828">
        <f t="shared" ref="G344:M345" si="318">+G345</f>
        <v>130032</v>
      </c>
      <c r="H344" s="915">
        <f t="shared" si="318"/>
        <v>0</v>
      </c>
      <c r="I344" s="826">
        <f t="shared" ref="I344:J345" si="319">+I345</f>
        <v>2442414</v>
      </c>
      <c r="J344" s="828">
        <f t="shared" si="319"/>
        <v>1644009</v>
      </c>
      <c r="K344" s="828">
        <f>+K345</f>
        <v>668373</v>
      </c>
      <c r="L344" s="828">
        <f t="shared" si="318"/>
        <v>130032</v>
      </c>
      <c r="M344" s="915">
        <f t="shared" si="318"/>
        <v>0</v>
      </c>
      <c r="N344" s="826">
        <f>+N345</f>
        <v>2312382</v>
      </c>
      <c r="O344" s="830">
        <f t="shared" si="308"/>
        <v>94.676086855054052</v>
      </c>
      <c r="P344" s="828">
        <f>+P345</f>
        <v>0</v>
      </c>
      <c r="Q344" s="830">
        <f t="shared" si="312"/>
        <v>0</v>
      </c>
      <c r="R344" s="828">
        <f t="shared" si="304"/>
        <v>-130032</v>
      </c>
      <c r="S344" s="2816"/>
      <c r="T344" s="537"/>
    </row>
    <row r="345" spans="1:20" s="877" customFormat="1" ht="13.5" customHeight="1" x14ac:dyDescent="0.2">
      <c r="A345" s="2811"/>
      <c r="B345" s="492" t="s">
        <v>13</v>
      </c>
      <c r="C345" s="2771" t="s">
        <v>42</v>
      </c>
      <c r="D345" s="774">
        <f t="shared" si="317"/>
        <v>2442414</v>
      </c>
      <c r="E345" s="776">
        <f t="shared" si="317"/>
        <v>1644009</v>
      </c>
      <c r="F345" s="776">
        <f t="shared" si="317"/>
        <v>668373</v>
      </c>
      <c r="G345" s="775">
        <f t="shared" si="318"/>
        <v>130032</v>
      </c>
      <c r="H345" s="916">
        <f t="shared" si="318"/>
        <v>0</v>
      </c>
      <c r="I345" s="774">
        <f t="shared" si="319"/>
        <v>2442414</v>
      </c>
      <c r="J345" s="776">
        <f t="shared" si="319"/>
        <v>1644009</v>
      </c>
      <c r="K345" s="776">
        <f>+K346</f>
        <v>668373</v>
      </c>
      <c r="L345" s="775">
        <f t="shared" si="318"/>
        <v>130032</v>
      </c>
      <c r="M345" s="916">
        <f t="shared" si="318"/>
        <v>0</v>
      </c>
      <c r="N345" s="774">
        <f>+N346</f>
        <v>2312382</v>
      </c>
      <c r="O345" s="779">
        <f t="shared" si="308"/>
        <v>94.676086855054052</v>
      </c>
      <c r="P345" s="775">
        <f>+P346</f>
        <v>0</v>
      </c>
      <c r="Q345" s="779">
        <f t="shared" si="312"/>
        <v>0</v>
      </c>
      <c r="R345" s="775">
        <f t="shared" si="304"/>
        <v>-130032</v>
      </c>
      <c r="S345" s="2816"/>
      <c r="T345" s="537"/>
    </row>
    <row r="346" spans="1:20" s="726" customFormat="1" ht="13.5" customHeight="1" thickBot="1" x14ac:dyDescent="0.25">
      <c r="A346" s="2812"/>
      <c r="B346" s="780" t="s">
        <v>15</v>
      </c>
      <c r="C346" s="2818"/>
      <c r="D346" s="718">
        <f>+E346+F346+G346+H346</f>
        <v>2442414</v>
      </c>
      <c r="E346" s="781">
        <v>1644009</v>
      </c>
      <c r="F346" s="781">
        <v>668373</v>
      </c>
      <c r="G346" s="781">
        <v>130032</v>
      </c>
      <c r="H346" s="885">
        <v>0</v>
      </c>
      <c r="I346" s="718">
        <f>+J346+K346+L346+M346</f>
        <v>2442414</v>
      </c>
      <c r="J346" s="781">
        <v>1644009</v>
      </c>
      <c r="K346" s="781">
        <v>668373</v>
      </c>
      <c r="L346" s="781">
        <v>130032</v>
      </c>
      <c r="M346" s="885">
        <v>0</v>
      </c>
      <c r="N346" s="784">
        <f>J346+K346+P346</f>
        <v>2312382</v>
      </c>
      <c r="O346" s="785">
        <f t="shared" si="308"/>
        <v>94.676086855054052</v>
      </c>
      <c r="P346" s="781">
        <v>0</v>
      </c>
      <c r="Q346" s="785">
        <f t="shared" si="312"/>
        <v>0</v>
      </c>
      <c r="R346" s="786">
        <f t="shared" si="304"/>
        <v>-130032</v>
      </c>
      <c r="S346" s="2818"/>
      <c r="T346" s="537"/>
    </row>
    <row r="347" spans="1:20" ht="27.75" customHeight="1" x14ac:dyDescent="0.2">
      <c r="A347" s="2809" t="s">
        <v>86</v>
      </c>
      <c r="B347" s="746" t="s">
        <v>342</v>
      </c>
      <c r="C347" s="676" t="s">
        <v>225</v>
      </c>
      <c r="D347" s="862"/>
      <c r="E347" s="863"/>
      <c r="F347" s="863"/>
      <c r="G347" s="863"/>
      <c r="H347" s="864"/>
      <c r="I347" s="862"/>
      <c r="J347" s="863"/>
      <c r="K347" s="863"/>
      <c r="L347" s="863"/>
      <c r="M347" s="864"/>
      <c r="N347" s="862"/>
      <c r="O347" s="865"/>
      <c r="P347" s="863"/>
      <c r="Q347" s="865"/>
      <c r="R347" s="863"/>
      <c r="S347" s="2823" t="s">
        <v>45</v>
      </c>
      <c r="T347" s="537"/>
    </row>
    <row r="348" spans="1:20" ht="13.5" customHeight="1" x14ac:dyDescent="0.2">
      <c r="A348" s="2810"/>
      <c r="B348" s="565" t="s">
        <v>3</v>
      </c>
      <c r="C348" s="566"/>
      <c r="D348" s="920">
        <f t="shared" ref="D348:H348" si="320">+D349+D352</f>
        <v>6701938</v>
      </c>
      <c r="E348" s="921">
        <f t="shared" si="320"/>
        <v>6653648</v>
      </c>
      <c r="F348" s="921">
        <f t="shared" si="320"/>
        <v>48290</v>
      </c>
      <c r="G348" s="922">
        <f t="shared" si="320"/>
        <v>0</v>
      </c>
      <c r="H348" s="923">
        <f t="shared" si="320"/>
        <v>0</v>
      </c>
      <c r="I348" s="920">
        <f t="shared" ref="I348:N348" si="321">+I349+I352</f>
        <v>6701938</v>
      </c>
      <c r="J348" s="921">
        <f t="shared" si="321"/>
        <v>6653648</v>
      </c>
      <c r="K348" s="921">
        <f t="shared" si="321"/>
        <v>48290</v>
      </c>
      <c r="L348" s="922">
        <f t="shared" si="321"/>
        <v>0</v>
      </c>
      <c r="M348" s="923">
        <f t="shared" si="321"/>
        <v>0</v>
      </c>
      <c r="N348" s="920">
        <f t="shared" si="321"/>
        <v>6701938</v>
      </c>
      <c r="O348" s="924">
        <f t="shared" si="308"/>
        <v>100</v>
      </c>
      <c r="P348" s="922">
        <f>+P349+P352</f>
        <v>0</v>
      </c>
      <c r="Q348" s="922">
        <v>0</v>
      </c>
      <c r="R348" s="921">
        <f t="shared" si="304"/>
        <v>0</v>
      </c>
      <c r="S348" s="2824"/>
      <c r="T348" s="537"/>
    </row>
    <row r="349" spans="1:20" ht="13.5" customHeight="1" x14ac:dyDescent="0.2">
      <c r="A349" s="2810"/>
      <c r="B349" s="819" t="s">
        <v>18</v>
      </c>
      <c r="C349" s="2771" t="s">
        <v>46</v>
      </c>
      <c r="D349" s="856">
        <f t="shared" ref="D349:H349" si="322">+D350+D351</f>
        <v>2346763</v>
      </c>
      <c r="E349" s="857">
        <f t="shared" si="322"/>
        <v>2298473</v>
      </c>
      <c r="F349" s="857">
        <f t="shared" si="322"/>
        <v>48290</v>
      </c>
      <c r="G349" s="858">
        <f t="shared" si="322"/>
        <v>0</v>
      </c>
      <c r="H349" s="859">
        <f t="shared" si="322"/>
        <v>0</v>
      </c>
      <c r="I349" s="856">
        <f t="shared" ref="I349:N349" si="323">+I350+I351</f>
        <v>2346763</v>
      </c>
      <c r="J349" s="857">
        <f t="shared" si="323"/>
        <v>2298473</v>
      </c>
      <c r="K349" s="857">
        <f t="shared" si="323"/>
        <v>48290</v>
      </c>
      <c r="L349" s="858">
        <f t="shared" si="323"/>
        <v>0</v>
      </c>
      <c r="M349" s="859">
        <f t="shared" si="323"/>
        <v>0</v>
      </c>
      <c r="N349" s="856">
        <f t="shared" si="323"/>
        <v>2346763</v>
      </c>
      <c r="O349" s="860">
        <f t="shared" si="308"/>
        <v>100</v>
      </c>
      <c r="P349" s="858">
        <f>+P350+P351</f>
        <v>0</v>
      </c>
      <c r="Q349" s="858">
        <v>0</v>
      </c>
      <c r="R349" s="857">
        <f t="shared" si="304"/>
        <v>0</v>
      </c>
      <c r="S349" s="2824"/>
      <c r="T349" s="537"/>
    </row>
    <row r="350" spans="1:20" ht="12.75" customHeight="1" x14ac:dyDescent="0.2">
      <c r="A350" s="2810"/>
      <c r="B350" s="696" t="s">
        <v>5</v>
      </c>
      <c r="C350" s="2816"/>
      <c r="D350" s="697">
        <f>+E350+F350+G350+H350</f>
        <v>1946052</v>
      </c>
      <c r="E350" s="699">
        <f>108028+1535237+254497</f>
        <v>1897762</v>
      </c>
      <c r="F350" s="733">
        <v>48290</v>
      </c>
      <c r="G350" s="735">
        <v>0</v>
      </c>
      <c r="H350" s="873">
        <v>0</v>
      </c>
      <c r="I350" s="697">
        <f>+J350+K350+L350+M350</f>
        <v>1946052</v>
      </c>
      <c r="J350" s="699">
        <f>108028+1535237+254497</f>
        <v>1897762</v>
      </c>
      <c r="K350" s="733">
        <v>48290</v>
      </c>
      <c r="L350" s="735">
        <v>0</v>
      </c>
      <c r="M350" s="873">
        <v>0</v>
      </c>
      <c r="N350" s="762">
        <f>J350+K350+P350</f>
        <v>1946052</v>
      </c>
      <c r="O350" s="734">
        <f t="shared" si="308"/>
        <v>100</v>
      </c>
      <c r="P350" s="735">
        <v>0</v>
      </c>
      <c r="Q350" s="735">
        <v>0</v>
      </c>
      <c r="R350" s="733">
        <f t="shared" si="304"/>
        <v>0</v>
      </c>
      <c r="S350" s="2824"/>
      <c r="T350" s="537"/>
    </row>
    <row r="351" spans="1:20" ht="13.5" customHeight="1" x14ac:dyDescent="0.2">
      <c r="A351" s="2810"/>
      <c r="B351" s="855" t="s">
        <v>10</v>
      </c>
      <c r="C351" s="2816"/>
      <c r="D351" s="697">
        <f>+E351+F351+G351</f>
        <v>400711</v>
      </c>
      <c r="E351" s="733">
        <v>400711</v>
      </c>
      <c r="F351" s="735">
        <v>0</v>
      </c>
      <c r="G351" s="735">
        <v>0</v>
      </c>
      <c r="H351" s="873">
        <v>0</v>
      </c>
      <c r="I351" s="697">
        <f>+J351+K351+L351</f>
        <v>400711</v>
      </c>
      <c r="J351" s="733">
        <v>400711</v>
      </c>
      <c r="K351" s="735">
        <v>0</v>
      </c>
      <c r="L351" s="735">
        <v>0</v>
      </c>
      <c r="M351" s="873">
        <v>0</v>
      </c>
      <c r="N351" s="762">
        <f>J351+K351+P351</f>
        <v>400711</v>
      </c>
      <c r="O351" s="734">
        <f t="shared" si="308"/>
        <v>100</v>
      </c>
      <c r="P351" s="698">
        <v>0</v>
      </c>
      <c r="Q351" s="735">
        <v>0</v>
      </c>
      <c r="R351" s="733">
        <f t="shared" si="304"/>
        <v>0</v>
      </c>
      <c r="S351" s="2824"/>
      <c r="T351" s="537"/>
    </row>
    <row r="352" spans="1:20" ht="13.5" customHeight="1" x14ac:dyDescent="0.2">
      <c r="A352" s="2810"/>
      <c r="B352" s="703" t="s">
        <v>13</v>
      </c>
      <c r="C352" s="2816"/>
      <c r="D352" s="704">
        <f t="shared" ref="D352:N352" si="324">+D353</f>
        <v>4355175</v>
      </c>
      <c r="E352" s="705">
        <f t="shared" si="324"/>
        <v>4355175</v>
      </c>
      <c r="F352" s="706">
        <f t="shared" si="324"/>
        <v>0</v>
      </c>
      <c r="G352" s="706">
        <f t="shared" si="324"/>
        <v>0</v>
      </c>
      <c r="H352" s="707">
        <f t="shared" si="324"/>
        <v>0</v>
      </c>
      <c r="I352" s="704">
        <f t="shared" si="324"/>
        <v>4355175</v>
      </c>
      <c r="J352" s="705">
        <f t="shared" si="324"/>
        <v>4355175</v>
      </c>
      <c r="K352" s="706">
        <f t="shared" si="324"/>
        <v>0</v>
      </c>
      <c r="L352" s="706">
        <f t="shared" si="324"/>
        <v>0</v>
      </c>
      <c r="M352" s="707">
        <f t="shared" si="324"/>
        <v>0</v>
      </c>
      <c r="N352" s="704">
        <f t="shared" si="324"/>
        <v>4355175</v>
      </c>
      <c r="O352" s="708">
        <f t="shared" si="308"/>
        <v>100</v>
      </c>
      <c r="P352" s="706">
        <f>+P353</f>
        <v>0</v>
      </c>
      <c r="Q352" s="706">
        <v>0</v>
      </c>
      <c r="R352" s="705">
        <f t="shared" si="304"/>
        <v>0</v>
      </c>
      <c r="S352" s="2824"/>
      <c r="T352" s="537"/>
    </row>
    <row r="353" spans="1:23" ht="13.5" customHeight="1" x14ac:dyDescent="0.2">
      <c r="A353" s="2810"/>
      <c r="B353" s="696" t="s">
        <v>15</v>
      </c>
      <c r="C353" s="2816"/>
      <c r="D353" s="697">
        <f>+E353+F353+G353</f>
        <v>4355175</v>
      </c>
      <c r="E353" s="699">
        <f>297662+4057513</f>
        <v>4355175</v>
      </c>
      <c r="F353" s="735">
        <v>0</v>
      </c>
      <c r="G353" s="735">
        <v>0</v>
      </c>
      <c r="H353" s="736">
        <v>0</v>
      </c>
      <c r="I353" s="697">
        <f>+J353+K353+L353</f>
        <v>4355175</v>
      </c>
      <c r="J353" s="699">
        <f>297662+4057513</f>
        <v>4355175</v>
      </c>
      <c r="K353" s="735">
        <v>0</v>
      </c>
      <c r="L353" s="735">
        <v>0</v>
      </c>
      <c r="M353" s="736">
        <v>0</v>
      </c>
      <c r="N353" s="762">
        <f>J353+K353+P353</f>
        <v>4355175</v>
      </c>
      <c r="O353" s="734">
        <f t="shared" si="308"/>
        <v>100</v>
      </c>
      <c r="P353" s="698">
        <v>0</v>
      </c>
      <c r="Q353" s="735">
        <v>0</v>
      </c>
      <c r="R353" s="733">
        <f t="shared" si="304"/>
        <v>0</v>
      </c>
      <c r="S353" s="2824"/>
      <c r="T353" s="537"/>
    </row>
    <row r="354" spans="1:23" ht="12.75" customHeight="1" x14ac:dyDescent="0.2">
      <c r="A354" s="2811"/>
      <c r="B354" s="565" t="s">
        <v>17</v>
      </c>
      <c r="C354" s="566"/>
      <c r="D354" s="826">
        <f t="shared" ref="D354:H354" si="325">+D355+D357</f>
        <v>4755886</v>
      </c>
      <c r="E354" s="828">
        <f t="shared" si="325"/>
        <v>4755886</v>
      </c>
      <c r="F354" s="827">
        <f t="shared" si="325"/>
        <v>0</v>
      </c>
      <c r="G354" s="827">
        <f t="shared" si="325"/>
        <v>0</v>
      </c>
      <c r="H354" s="843">
        <f t="shared" si="325"/>
        <v>0</v>
      </c>
      <c r="I354" s="826">
        <f t="shared" ref="I354:N354" si="326">+I355+I357</f>
        <v>4755886</v>
      </c>
      <c r="J354" s="828">
        <f t="shared" si="326"/>
        <v>4755886</v>
      </c>
      <c r="K354" s="827">
        <f t="shared" si="326"/>
        <v>0</v>
      </c>
      <c r="L354" s="827">
        <f t="shared" si="326"/>
        <v>0</v>
      </c>
      <c r="M354" s="843">
        <f t="shared" si="326"/>
        <v>0</v>
      </c>
      <c r="N354" s="826">
        <f t="shared" si="326"/>
        <v>4755886</v>
      </c>
      <c r="O354" s="830">
        <f t="shared" si="308"/>
        <v>100</v>
      </c>
      <c r="P354" s="827">
        <f>+P355+P357</f>
        <v>0</v>
      </c>
      <c r="Q354" s="827">
        <v>0</v>
      </c>
      <c r="R354" s="828">
        <f t="shared" si="304"/>
        <v>0</v>
      </c>
      <c r="S354" s="2816"/>
      <c r="T354" s="537"/>
    </row>
    <row r="355" spans="1:23" ht="13.5" customHeight="1" x14ac:dyDescent="0.2">
      <c r="A355" s="2811"/>
      <c r="B355" s="819" t="s">
        <v>18</v>
      </c>
      <c r="C355" s="2825" t="s">
        <v>59</v>
      </c>
      <c r="D355" s="704">
        <f t="shared" ref="D355:N355" si="327">+D356</f>
        <v>400711</v>
      </c>
      <c r="E355" s="705">
        <f t="shared" si="327"/>
        <v>400711</v>
      </c>
      <c r="F355" s="706">
        <f t="shared" si="327"/>
        <v>0</v>
      </c>
      <c r="G355" s="706">
        <f t="shared" si="327"/>
        <v>0</v>
      </c>
      <c r="H355" s="707">
        <f t="shared" si="327"/>
        <v>0</v>
      </c>
      <c r="I355" s="704">
        <f t="shared" si="327"/>
        <v>400711</v>
      </c>
      <c r="J355" s="705">
        <f t="shared" si="327"/>
        <v>400711</v>
      </c>
      <c r="K355" s="706">
        <f t="shared" si="327"/>
        <v>0</v>
      </c>
      <c r="L355" s="706">
        <f t="shared" si="327"/>
        <v>0</v>
      </c>
      <c r="M355" s="707">
        <f t="shared" si="327"/>
        <v>0</v>
      </c>
      <c r="N355" s="704">
        <f t="shared" si="327"/>
        <v>400711</v>
      </c>
      <c r="O355" s="708">
        <f t="shared" si="308"/>
        <v>100</v>
      </c>
      <c r="P355" s="706">
        <f>+P356</f>
        <v>0</v>
      </c>
      <c r="Q355" s="706">
        <v>0</v>
      </c>
      <c r="R355" s="705">
        <f t="shared" si="304"/>
        <v>0</v>
      </c>
      <c r="S355" s="2816"/>
      <c r="T355" s="537"/>
    </row>
    <row r="356" spans="1:23" ht="13.5" customHeight="1" x14ac:dyDescent="0.2">
      <c r="A356" s="2811"/>
      <c r="B356" s="855" t="s">
        <v>10</v>
      </c>
      <c r="C356" s="2842"/>
      <c r="D356" s="697">
        <f>+E356+F356+G356</f>
        <v>400711</v>
      </c>
      <c r="E356" s="800">
        <v>400711</v>
      </c>
      <c r="F356" s="809">
        <v>0</v>
      </c>
      <c r="G356" s="809">
        <v>0</v>
      </c>
      <c r="H356" s="809">
        <v>0</v>
      </c>
      <c r="I356" s="697">
        <f>+J356+K356+L356</f>
        <v>400711</v>
      </c>
      <c r="J356" s="800">
        <v>400711</v>
      </c>
      <c r="K356" s="809">
        <v>0</v>
      </c>
      <c r="L356" s="809">
        <v>0</v>
      </c>
      <c r="M356" s="810">
        <v>0</v>
      </c>
      <c r="N356" s="762">
        <f>J356+K356+P356</f>
        <v>400711</v>
      </c>
      <c r="O356" s="801">
        <f t="shared" si="308"/>
        <v>100</v>
      </c>
      <c r="P356" s="809">
        <v>0</v>
      </c>
      <c r="Q356" s="809">
        <v>0</v>
      </c>
      <c r="R356" s="733">
        <f t="shared" si="304"/>
        <v>0</v>
      </c>
      <c r="S356" s="2816"/>
      <c r="T356" s="537"/>
    </row>
    <row r="357" spans="1:23" ht="12" customHeight="1" x14ac:dyDescent="0.2">
      <c r="A357" s="2811"/>
      <c r="B357" s="703" t="s">
        <v>13</v>
      </c>
      <c r="C357" s="2842"/>
      <c r="D357" s="704">
        <f t="shared" ref="D357:N357" si="328">+D358</f>
        <v>4355175</v>
      </c>
      <c r="E357" s="705">
        <f t="shared" si="328"/>
        <v>4355175</v>
      </c>
      <c r="F357" s="706">
        <f t="shared" si="328"/>
        <v>0</v>
      </c>
      <c r="G357" s="706">
        <f t="shared" si="328"/>
        <v>0</v>
      </c>
      <c r="H357" s="707">
        <f t="shared" si="328"/>
        <v>0</v>
      </c>
      <c r="I357" s="704">
        <f t="shared" si="328"/>
        <v>4355175</v>
      </c>
      <c r="J357" s="705">
        <f t="shared" si="328"/>
        <v>4355175</v>
      </c>
      <c r="K357" s="706">
        <f t="shared" si="328"/>
        <v>0</v>
      </c>
      <c r="L357" s="706">
        <f t="shared" si="328"/>
        <v>0</v>
      </c>
      <c r="M357" s="707">
        <f t="shared" si="328"/>
        <v>0</v>
      </c>
      <c r="N357" s="704">
        <f t="shared" si="328"/>
        <v>4355175</v>
      </c>
      <c r="O357" s="708">
        <f t="shared" si="308"/>
        <v>100</v>
      </c>
      <c r="P357" s="706">
        <f>+P358</f>
        <v>0</v>
      </c>
      <c r="Q357" s="706">
        <v>0</v>
      </c>
      <c r="R357" s="705">
        <f t="shared" si="304"/>
        <v>0</v>
      </c>
      <c r="S357" s="2816"/>
      <c r="T357" s="537"/>
    </row>
    <row r="358" spans="1:23" ht="13.5" customHeight="1" thickBot="1" x14ac:dyDescent="0.25">
      <c r="A358" s="2812"/>
      <c r="B358" s="717" t="s">
        <v>15</v>
      </c>
      <c r="C358" s="2842"/>
      <c r="D358" s="718">
        <f>+E358+F358+G358</f>
        <v>4355175</v>
      </c>
      <c r="E358" s="720">
        <f>3035640+1319535</f>
        <v>4355175</v>
      </c>
      <c r="F358" s="719">
        <v>0</v>
      </c>
      <c r="G358" s="719">
        <v>0</v>
      </c>
      <c r="H358" s="761">
        <v>0</v>
      </c>
      <c r="I358" s="718">
        <f>+J358+K358+L358</f>
        <v>4355175</v>
      </c>
      <c r="J358" s="720">
        <f>3035640+1319535</f>
        <v>4355175</v>
      </c>
      <c r="K358" s="719">
        <v>0</v>
      </c>
      <c r="L358" s="719">
        <v>0</v>
      </c>
      <c r="M358" s="761">
        <v>0</v>
      </c>
      <c r="N358" s="784">
        <f>J358+K358+P358</f>
        <v>4355175</v>
      </c>
      <c r="O358" s="723">
        <f t="shared" si="308"/>
        <v>100</v>
      </c>
      <c r="P358" s="719">
        <v>0</v>
      </c>
      <c r="Q358" s="719">
        <v>0</v>
      </c>
      <c r="R358" s="786">
        <f t="shared" si="304"/>
        <v>0</v>
      </c>
      <c r="S358" s="2818"/>
      <c r="T358" s="537"/>
    </row>
    <row r="359" spans="1:23" ht="39.75" customHeight="1" x14ac:dyDescent="0.2">
      <c r="A359" s="2809" t="s">
        <v>88</v>
      </c>
      <c r="B359" s="746" t="s">
        <v>90</v>
      </c>
      <c r="C359" s="676" t="s">
        <v>225</v>
      </c>
      <c r="D359" s="862"/>
      <c r="E359" s="863"/>
      <c r="F359" s="863"/>
      <c r="G359" s="863"/>
      <c r="H359" s="864"/>
      <c r="I359" s="862"/>
      <c r="J359" s="863"/>
      <c r="K359" s="863"/>
      <c r="L359" s="863"/>
      <c r="M359" s="864"/>
      <c r="N359" s="862"/>
      <c r="O359" s="865"/>
      <c r="P359" s="863"/>
      <c r="Q359" s="865"/>
      <c r="R359" s="863"/>
      <c r="S359" s="2823" t="s">
        <v>45</v>
      </c>
      <c r="T359" s="537"/>
    </row>
    <row r="360" spans="1:23" ht="14.25" customHeight="1" x14ac:dyDescent="0.2">
      <c r="A360" s="2810"/>
      <c r="B360" s="565" t="s">
        <v>3</v>
      </c>
      <c r="C360" s="566"/>
      <c r="D360" s="926">
        <f t="shared" ref="D360:M364" si="329">+D361</f>
        <v>40000000</v>
      </c>
      <c r="E360" s="927">
        <f t="shared" si="329"/>
        <v>0</v>
      </c>
      <c r="F360" s="927">
        <f t="shared" si="329"/>
        <v>0</v>
      </c>
      <c r="G360" s="815">
        <f t="shared" si="329"/>
        <v>22800000</v>
      </c>
      <c r="H360" s="928">
        <f t="shared" si="329"/>
        <v>17200000</v>
      </c>
      <c r="I360" s="926">
        <f t="shared" si="329"/>
        <v>40000000</v>
      </c>
      <c r="J360" s="927">
        <f t="shared" si="329"/>
        <v>0</v>
      </c>
      <c r="K360" s="927">
        <f t="shared" si="329"/>
        <v>0</v>
      </c>
      <c r="L360" s="815">
        <f t="shared" si="329"/>
        <v>22800000</v>
      </c>
      <c r="M360" s="929">
        <f t="shared" si="329"/>
        <v>17200000</v>
      </c>
      <c r="N360" s="817">
        <f>+N361+N363</f>
        <v>0</v>
      </c>
      <c r="O360" s="818">
        <f t="shared" si="308"/>
        <v>0</v>
      </c>
      <c r="P360" s="815">
        <f>+P361+P363</f>
        <v>0</v>
      </c>
      <c r="Q360" s="818">
        <f t="shared" si="312"/>
        <v>0</v>
      </c>
      <c r="R360" s="815">
        <f t="shared" ref="R360:R365" si="330">+P360-L360</f>
        <v>-22800000</v>
      </c>
      <c r="S360" s="2824"/>
      <c r="T360" s="537"/>
    </row>
    <row r="361" spans="1:23" ht="14.25" customHeight="1" x14ac:dyDescent="0.2">
      <c r="A361" s="2810"/>
      <c r="B361" s="703" t="s">
        <v>13</v>
      </c>
      <c r="C361" s="2816"/>
      <c r="D361" s="704">
        <f t="shared" si="329"/>
        <v>40000000</v>
      </c>
      <c r="E361" s="706">
        <f t="shared" si="329"/>
        <v>0</v>
      </c>
      <c r="F361" s="706">
        <f t="shared" si="329"/>
        <v>0</v>
      </c>
      <c r="G361" s="821">
        <f t="shared" si="329"/>
        <v>22800000</v>
      </c>
      <c r="H361" s="930">
        <f t="shared" si="329"/>
        <v>17200000</v>
      </c>
      <c r="I361" s="704">
        <f t="shared" si="329"/>
        <v>40000000</v>
      </c>
      <c r="J361" s="706">
        <f t="shared" si="329"/>
        <v>0</v>
      </c>
      <c r="K361" s="706">
        <f t="shared" si="329"/>
        <v>0</v>
      </c>
      <c r="L361" s="821">
        <f t="shared" si="329"/>
        <v>22800000</v>
      </c>
      <c r="M361" s="931">
        <f t="shared" si="329"/>
        <v>17200000</v>
      </c>
      <c r="N361" s="820">
        <f>+N362</f>
        <v>0</v>
      </c>
      <c r="O361" s="823">
        <f t="shared" si="308"/>
        <v>0</v>
      </c>
      <c r="P361" s="821">
        <f>+P362</f>
        <v>0</v>
      </c>
      <c r="Q361" s="823">
        <f t="shared" si="312"/>
        <v>0</v>
      </c>
      <c r="R361" s="821">
        <f t="shared" si="330"/>
        <v>-22800000</v>
      </c>
      <c r="S361" s="2824"/>
      <c r="T361" s="537"/>
    </row>
    <row r="362" spans="1:23" ht="14.25" customHeight="1" x14ac:dyDescent="0.2">
      <c r="A362" s="2810"/>
      <c r="B362" s="696" t="s">
        <v>15</v>
      </c>
      <c r="C362" s="2816"/>
      <c r="D362" s="697">
        <f>+E362+F362+G362+H362</f>
        <v>40000000</v>
      </c>
      <c r="E362" s="698">
        <v>0</v>
      </c>
      <c r="F362" s="735">
        <v>0</v>
      </c>
      <c r="G362" s="733">
        <v>22800000</v>
      </c>
      <c r="H362" s="932">
        <v>17200000</v>
      </c>
      <c r="I362" s="697">
        <f>+J362+K362+L362+M362</f>
        <v>40000000</v>
      </c>
      <c r="J362" s="698">
        <v>0</v>
      </c>
      <c r="K362" s="735">
        <v>0</v>
      </c>
      <c r="L362" s="733">
        <v>22800000</v>
      </c>
      <c r="M362" s="874">
        <v>17200000</v>
      </c>
      <c r="N362" s="762">
        <f>J362+K362+P362</f>
        <v>0</v>
      </c>
      <c r="O362" s="702">
        <f t="shared" si="308"/>
        <v>0</v>
      </c>
      <c r="P362" s="733">
        <v>0</v>
      </c>
      <c r="Q362" s="702">
        <f t="shared" si="312"/>
        <v>0</v>
      </c>
      <c r="R362" s="733">
        <f t="shared" si="330"/>
        <v>-22800000</v>
      </c>
      <c r="S362" s="2824"/>
      <c r="T362" s="537"/>
    </row>
    <row r="363" spans="1:23" ht="14.25" customHeight="1" x14ac:dyDescent="0.2">
      <c r="A363" s="2811"/>
      <c r="B363" s="565" t="s">
        <v>17</v>
      </c>
      <c r="C363" s="566"/>
      <c r="D363" s="933">
        <f t="shared" ref="D363:F363" si="331">+D364</f>
        <v>40000000</v>
      </c>
      <c r="E363" s="934">
        <f t="shared" si="331"/>
        <v>0</v>
      </c>
      <c r="F363" s="934">
        <f t="shared" si="331"/>
        <v>0</v>
      </c>
      <c r="G363" s="815">
        <f t="shared" si="329"/>
        <v>22800000</v>
      </c>
      <c r="H363" s="928">
        <f t="shared" si="329"/>
        <v>17200000</v>
      </c>
      <c r="I363" s="933">
        <f t="shared" ref="I363:K363" si="332">+I364</f>
        <v>40000000</v>
      </c>
      <c r="J363" s="934">
        <f t="shared" si="332"/>
        <v>0</v>
      </c>
      <c r="K363" s="934">
        <f t="shared" si="332"/>
        <v>0</v>
      </c>
      <c r="L363" s="815">
        <f t="shared" si="329"/>
        <v>22800000</v>
      </c>
      <c r="M363" s="929">
        <f t="shared" si="329"/>
        <v>17200000</v>
      </c>
      <c r="N363" s="817">
        <f>+N364+N366</f>
        <v>0</v>
      </c>
      <c r="O363" s="818">
        <f t="shared" si="308"/>
        <v>0</v>
      </c>
      <c r="P363" s="815">
        <f>+P364+P366</f>
        <v>0</v>
      </c>
      <c r="Q363" s="818">
        <f t="shared" si="312"/>
        <v>0</v>
      </c>
      <c r="R363" s="815">
        <f t="shared" si="330"/>
        <v>-22800000</v>
      </c>
      <c r="S363" s="2816"/>
      <c r="T363" s="537"/>
    </row>
    <row r="364" spans="1:23" ht="14.25" customHeight="1" x14ac:dyDescent="0.2">
      <c r="A364" s="2811"/>
      <c r="B364" s="703" t="s">
        <v>13</v>
      </c>
      <c r="C364" s="2826"/>
      <c r="D364" s="704">
        <f t="shared" ref="D364:K364" si="333">+D365</f>
        <v>40000000</v>
      </c>
      <c r="E364" s="706">
        <f t="shared" si="333"/>
        <v>0</v>
      </c>
      <c r="F364" s="706">
        <f t="shared" si="333"/>
        <v>0</v>
      </c>
      <c r="G364" s="821">
        <f t="shared" si="329"/>
        <v>22800000</v>
      </c>
      <c r="H364" s="930">
        <f t="shared" si="329"/>
        <v>17200000</v>
      </c>
      <c r="I364" s="704">
        <f t="shared" si="333"/>
        <v>40000000</v>
      </c>
      <c r="J364" s="706">
        <f t="shared" si="333"/>
        <v>0</v>
      </c>
      <c r="K364" s="706">
        <f t="shared" si="333"/>
        <v>0</v>
      </c>
      <c r="L364" s="821">
        <f t="shared" si="329"/>
        <v>22800000</v>
      </c>
      <c r="M364" s="931">
        <f t="shared" si="329"/>
        <v>17200000</v>
      </c>
      <c r="N364" s="820">
        <f>+N365</f>
        <v>0</v>
      </c>
      <c r="O364" s="823">
        <f t="shared" si="308"/>
        <v>0</v>
      </c>
      <c r="P364" s="821">
        <f>+P365</f>
        <v>0</v>
      </c>
      <c r="Q364" s="823">
        <f t="shared" si="312"/>
        <v>0</v>
      </c>
      <c r="R364" s="821">
        <f t="shared" si="330"/>
        <v>-22800000</v>
      </c>
      <c r="S364" s="2816"/>
      <c r="T364" s="537"/>
    </row>
    <row r="365" spans="1:23" ht="14.25" customHeight="1" thickBot="1" x14ac:dyDescent="0.25">
      <c r="A365" s="2812"/>
      <c r="B365" s="717" t="s">
        <v>15</v>
      </c>
      <c r="C365" s="2827"/>
      <c r="D365" s="718">
        <f>+E365+F365+G365+H365</f>
        <v>40000000</v>
      </c>
      <c r="E365" s="719">
        <v>0</v>
      </c>
      <c r="F365" s="719">
        <v>0</v>
      </c>
      <c r="G365" s="733">
        <v>22800000</v>
      </c>
      <c r="H365" s="932">
        <v>17200000</v>
      </c>
      <c r="I365" s="718">
        <f>+J365+K365+L365+M365</f>
        <v>40000000</v>
      </c>
      <c r="J365" s="719">
        <v>0</v>
      </c>
      <c r="K365" s="719">
        <v>0</v>
      </c>
      <c r="L365" s="733">
        <v>22800000</v>
      </c>
      <c r="M365" s="874">
        <v>17200000</v>
      </c>
      <c r="N365" s="762">
        <f>J365+K365+P365</f>
        <v>0</v>
      </c>
      <c r="O365" s="702">
        <f t="shared" si="308"/>
        <v>0</v>
      </c>
      <c r="P365" s="733">
        <v>0</v>
      </c>
      <c r="Q365" s="702">
        <f t="shared" si="312"/>
        <v>0</v>
      </c>
      <c r="R365" s="733">
        <f t="shared" si="330"/>
        <v>-22800000</v>
      </c>
      <c r="S365" s="2818"/>
      <c r="T365" s="537"/>
    </row>
    <row r="366" spans="1:23" ht="13.5" customHeight="1" x14ac:dyDescent="0.2">
      <c r="A366" s="2801" t="s">
        <v>91</v>
      </c>
      <c r="B366" s="935" t="s">
        <v>92</v>
      </c>
      <c r="C366" s="600"/>
      <c r="D366" s="936"/>
      <c r="E366" s="602"/>
      <c r="F366" s="602"/>
      <c r="G366" s="603"/>
      <c r="H366" s="604"/>
      <c r="I366" s="601"/>
      <c r="J366" s="603"/>
      <c r="K366" s="603"/>
      <c r="L366" s="603"/>
      <c r="M366" s="604"/>
      <c r="N366" s="601"/>
      <c r="O366" s="605"/>
      <c r="P366" s="603"/>
      <c r="Q366" s="605"/>
      <c r="R366" s="603"/>
      <c r="S366" s="2844"/>
      <c r="T366" s="537"/>
      <c r="U366" s="537"/>
      <c r="V366" s="537">
        <f>P385+P394+P403</f>
        <v>0</v>
      </c>
      <c r="W366" s="537"/>
    </row>
    <row r="367" spans="1:23" s="252" customFormat="1" ht="15" customHeight="1" x14ac:dyDescent="0.2">
      <c r="A367" s="2843"/>
      <c r="B367" s="606" t="s">
        <v>3</v>
      </c>
      <c r="C367" s="607"/>
      <c r="D367" s="608">
        <f>+D368+D370</f>
        <v>17754927</v>
      </c>
      <c r="E367" s="609">
        <f t="shared" ref="E367:N367" si="334">+E368+E370</f>
        <v>6985875</v>
      </c>
      <c r="F367" s="609">
        <f t="shared" si="334"/>
        <v>10706507</v>
      </c>
      <c r="G367" s="609">
        <f t="shared" si="334"/>
        <v>62545</v>
      </c>
      <c r="H367" s="937">
        <f>+H368+H370</f>
        <v>0</v>
      </c>
      <c r="I367" s="608">
        <f t="shared" si="334"/>
        <v>17754926.309999999</v>
      </c>
      <c r="J367" s="609">
        <f t="shared" si="334"/>
        <v>6985875</v>
      </c>
      <c r="K367" s="609">
        <f t="shared" si="334"/>
        <v>10706506.309999999</v>
      </c>
      <c r="L367" s="609">
        <f>+L368+L370</f>
        <v>62545</v>
      </c>
      <c r="M367" s="611">
        <f>+M368+M370</f>
        <v>0</v>
      </c>
      <c r="N367" s="608">
        <f t="shared" si="334"/>
        <v>17692381.309999999</v>
      </c>
      <c r="O367" s="938">
        <f t="shared" si="308"/>
        <v>99.647727698345363</v>
      </c>
      <c r="P367" s="609">
        <f>+P368+P370</f>
        <v>0</v>
      </c>
      <c r="Q367" s="938">
        <f t="shared" si="312"/>
        <v>0</v>
      </c>
      <c r="R367" s="609">
        <f>+P367-L367</f>
        <v>-62545</v>
      </c>
      <c r="S367" s="2845"/>
      <c r="T367" s="537"/>
    </row>
    <row r="368" spans="1:23" s="942" customFormat="1" ht="15" customHeight="1" x14ac:dyDescent="0.2">
      <c r="A368" s="2843"/>
      <c r="B368" s="939" t="s">
        <v>4</v>
      </c>
      <c r="C368" s="2848"/>
      <c r="D368" s="620">
        <f>+D369</f>
        <v>2891528</v>
      </c>
      <c r="E368" s="616">
        <f t="shared" ref="E368:P368" si="335">+E369</f>
        <v>1047882</v>
      </c>
      <c r="F368" s="616">
        <f t="shared" si="335"/>
        <v>1781101</v>
      </c>
      <c r="G368" s="616">
        <f t="shared" si="335"/>
        <v>62545</v>
      </c>
      <c r="H368" s="940">
        <f t="shared" si="335"/>
        <v>0</v>
      </c>
      <c r="I368" s="620">
        <f t="shared" si="335"/>
        <v>2891527.88</v>
      </c>
      <c r="J368" s="616">
        <f t="shared" si="335"/>
        <v>1047882</v>
      </c>
      <c r="K368" s="616">
        <f t="shared" si="335"/>
        <v>1781100.88</v>
      </c>
      <c r="L368" s="616">
        <f t="shared" si="335"/>
        <v>62545</v>
      </c>
      <c r="M368" s="618">
        <f t="shared" si="335"/>
        <v>0</v>
      </c>
      <c r="N368" s="620">
        <f t="shared" si="335"/>
        <v>2828982.88</v>
      </c>
      <c r="O368" s="941">
        <f t="shared" si="308"/>
        <v>97.836952642339952</v>
      </c>
      <c r="P368" s="616">
        <f t="shared" si="335"/>
        <v>0</v>
      </c>
      <c r="Q368" s="941">
        <f t="shared" si="312"/>
        <v>0</v>
      </c>
      <c r="R368" s="616">
        <f t="shared" ref="R368:R410" si="336">+P368-L368</f>
        <v>-62545</v>
      </c>
      <c r="S368" s="2845"/>
      <c r="T368" s="537"/>
    </row>
    <row r="369" spans="1:20" s="252" customFormat="1" ht="15" customHeight="1" x14ac:dyDescent="0.2">
      <c r="A369" s="2843"/>
      <c r="B369" s="659" t="s">
        <v>5</v>
      </c>
      <c r="C369" s="2849"/>
      <c r="D369" s="624">
        <f t="shared" ref="D369:N369" si="337">+D378+D396+D405+D414+D387</f>
        <v>2891528</v>
      </c>
      <c r="E369" s="625">
        <f t="shared" si="337"/>
        <v>1047882</v>
      </c>
      <c r="F369" s="625">
        <f t="shared" si="337"/>
        <v>1781101</v>
      </c>
      <c r="G369" s="625">
        <f t="shared" si="337"/>
        <v>62545</v>
      </c>
      <c r="H369" s="632">
        <f t="shared" si="337"/>
        <v>0</v>
      </c>
      <c r="I369" s="624">
        <f t="shared" si="337"/>
        <v>2891527.88</v>
      </c>
      <c r="J369" s="625">
        <f t="shared" si="337"/>
        <v>1047882</v>
      </c>
      <c r="K369" s="625">
        <f t="shared" si="337"/>
        <v>1781100.88</v>
      </c>
      <c r="L369" s="625">
        <f t="shared" si="337"/>
        <v>62545</v>
      </c>
      <c r="M369" s="627">
        <f t="shared" si="337"/>
        <v>0</v>
      </c>
      <c r="N369" s="624">
        <f t="shared" si="337"/>
        <v>2828982.88</v>
      </c>
      <c r="O369" s="943">
        <f t="shared" si="308"/>
        <v>97.836952642339952</v>
      </c>
      <c r="P369" s="625">
        <f>+P378+P396+P405+P414+P387</f>
        <v>0</v>
      </c>
      <c r="Q369" s="943">
        <f t="shared" si="312"/>
        <v>0</v>
      </c>
      <c r="R369" s="625">
        <f t="shared" si="336"/>
        <v>-62545</v>
      </c>
      <c r="S369" s="2845"/>
      <c r="T369" s="537"/>
    </row>
    <row r="370" spans="1:20" s="942" customFormat="1" ht="15" customHeight="1" x14ac:dyDescent="0.2">
      <c r="A370" s="2843"/>
      <c r="B370" s="634" t="s">
        <v>93</v>
      </c>
      <c r="C370" s="2849"/>
      <c r="D370" s="944">
        <f>+D371</f>
        <v>14863399</v>
      </c>
      <c r="E370" s="945">
        <f t="shared" ref="E370:P370" si="338">+E371</f>
        <v>5937993</v>
      </c>
      <c r="F370" s="945">
        <f t="shared" si="338"/>
        <v>8925406</v>
      </c>
      <c r="G370" s="946">
        <f t="shared" si="338"/>
        <v>0</v>
      </c>
      <c r="H370" s="947">
        <f t="shared" si="338"/>
        <v>0</v>
      </c>
      <c r="I370" s="944">
        <f t="shared" si="338"/>
        <v>14863398.43</v>
      </c>
      <c r="J370" s="945">
        <f t="shared" si="338"/>
        <v>5937993</v>
      </c>
      <c r="K370" s="636">
        <f t="shared" si="338"/>
        <v>8925405.4299999997</v>
      </c>
      <c r="L370" s="945">
        <f t="shared" si="338"/>
        <v>0</v>
      </c>
      <c r="M370" s="948">
        <f t="shared" si="338"/>
        <v>0</v>
      </c>
      <c r="N370" s="944">
        <f t="shared" si="338"/>
        <v>14863398.43</v>
      </c>
      <c r="O370" s="949">
        <f t="shared" si="308"/>
        <v>99.999996165076368</v>
      </c>
      <c r="P370" s="950">
        <f t="shared" si="338"/>
        <v>0</v>
      </c>
      <c r="Q370" s="950">
        <v>0</v>
      </c>
      <c r="R370" s="945">
        <f t="shared" si="336"/>
        <v>0</v>
      </c>
      <c r="S370" s="2845"/>
      <c r="T370" s="537"/>
    </row>
    <row r="371" spans="1:20" s="252" customFormat="1" ht="15" customHeight="1" x14ac:dyDescent="0.2">
      <c r="A371" s="2843"/>
      <c r="B371" s="659" t="s">
        <v>14</v>
      </c>
      <c r="C371" s="2849"/>
      <c r="D371" s="624">
        <f t="shared" ref="D371:N371" si="339">+D380+D389+D398+D407+D416</f>
        <v>14863399</v>
      </c>
      <c r="E371" s="625">
        <f t="shared" si="339"/>
        <v>5937993</v>
      </c>
      <c r="F371" s="625">
        <f t="shared" si="339"/>
        <v>8925406</v>
      </c>
      <c r="G371" s="633">
        <f t="shared" si="339"/>
        <v>0</v>
      </c>
      <c r="H371" s="632">
        <f t="shared" si="339"/>
        <v>0</v>
      </c>
      <c r="I371" s="624">
        <f t="shared" si="339"/>
        <v>14863398.43</v>
      </c>
      <c r="J371" s="625">
        <f t="shared" si="339"/>
        <v>5937993</v>
      </c>
      <c r="K371" s="625">
        <f t="shared" si="339"/>
        <v>8925405.4299999997</v>
      </c>
      <c r="L371" s="625">
        <f t="shared" si="339"/>
        <v>0</v>
      </c>
      <c r="M371" s="627">
        <f t="shared" si="339"/>
        <v>0</v>
      </c>
      <c r="N371" s="624">
        <f t="shared" si="339"/>
        <v>14863398.43</v>
      </c>
      <c r="O371" s="943">
        <f t="shared" si="308"/>
        <v>99.999996165076368</v>
      </c>
      <c r="P371" s="633">
        <f>+P380+P389+P398+P407+P416</f>
        <v>0</v>
      </c>
      <c r="Q371" s="633">
        <v>0</v>
      </c>
      <c r="R371" s="625">
        <f t="shared" si="336"/>
        <v>0</v>
      </c>
      <c r="S371" s="2845"/>
      <c r="T371" s="537"/>
    </row>
    <row r="372" spans="1:20" s="252" customFormat="1" ht="15" customHeight="1" x14ac:dyDescent="0.2">
      <c r="A372" s="2802"/>
      <c r="B372" s="606" t="s">
        <v>17</v>
      </c>
      <c r="C372" s="607"/>
      <c r="D372" s="951">
        <f>+D373</f>
        <v>14863399</v>
      </c>
      <c r="E372" s="952">
        <f t="shared" ref="E372:P373" si="340">+E373</f>
        <v>842747</v>
      </c>
      <c r="F372" s="952">
        <f t="shared" si="340"/>
        <v>1914754</v>
      </c>
      <c r="G372" s="952">
        <f t="shared" si="340"/>
        <v>12105898</v>
      </c>
      <c r="H372" s="953">
        <f t="shared" si="340"/>
        <v>0</v>
      </c>
      <c r="I372" s="951">
        <f t="shared" si="340"/>
        <v>14863399</v>
      </c>
      <c r="J372" s="952">
        <f t="shared" si="340"/>
        <v>842747</v>
      </c>
      <c r="K372" s="609">
        <f t="shared" si="340"/>
        <v>1914754</v>
      </c>
      <c r="L372" s="952">
        <f t="shared" si="340"/>
        <v>12105898</v>
      </c>
      <c r="M372" s="954">
        <f t="shared" si="340"/>
        <v>0</v>
      </c>
      <c r="N372" s="951">
        <f t="shared" si="340"/>
        <v>2757501</v>
      </c>
      <c r="O372" s="938">
        <f t="shared" si="308"/>
        <v>18.552290764716737</v>
      </c>
      <c r="P372" s="609">
        <f t="shared" si="340"/>
        <v>0</v>
      </c>
      <c r="Q372" s="938">
        <f t="shared" si="312"/>
        <v>0</v>
      </c>
      <c r="R372" s="952">
        <f t="shared" si="336"/>
        <v>-12105898</v>
      </c>
      <c r="S372" s="2846"/>
      <c r="T372" s="537"/>
    </row>
    <row r="373" spans="1:20" s="252" customFormat="1" ht="15" customHeight="1" x14ac:dyDescent="0.2">
      <c r="A373" s="2802"/>
      <c r="B373" s="955" t="s">
        <v>13</v>
      </c>
      <c r="C373" s="2850"/>
      <c r="D373" s="956">
        <f>+D374</f>
        <v>14863399</v>
      </c>
      <c r="E373" s="957">
        <f t="shared" si="340"/>
        <v>842747</v>
      </c>
      <c r="F373" s="957">
        <f t="shared" si="340"/>
        <v>1914754</v>
      </c>
      <c r="G373" s="957">
        <f t="shared" si="340"/>
        <v>12105898</v>
      </c>
      <c r="H373" s="958">
        <f t="shared" si="340"/>
        <v>0</v>
      </c>
      <c r="I373" s="956">
        <f t="shared" si="340"/>
        <v>14863399</v>
      </c>
      <c r="J373" s="957">
        <f t="shared" si="340"/>
        <v>842747</v>
      </c>
      <c r="K373" s="616">
        <f t="shared" si="340"/>
        <v>1914754</v>
      </c>
      <c r="L373" s="957">
        <f t="shared" si="340"/>
        <v>12105898</v>
      </c>
      <c r="M373" s="959">
        <f t="shared" si="340"/>
        <v>0</v>
      </c>
      <c r="N373" s="956">
        <f t="shared" si="340"/>
        <v>2757501</v>
      </c>
      <c r="O373" s="941">
        <f t="shared" si="308"/>
        <v>18.552290764716737</v>
      </c>
      <c r="P373" s="616">
        <f t="shared" si="340"/>
        <v>0</v>
      </c>
      <c r="Q373" s="941">
        <f t="shared" si="312"/>
        <v>0</v>
      </c>
      <c r="R373" s="957">
        <f t="shared" si="336"/>
        <v>-12105898</v>
      </c>
      <c r="S373" s="2846"/>
      <c r="T373" s="537"/>
    </row>
    <row r="374" spans="1:20" s="252" customFormat="1" ht="15" customHeight="1" thickBot="1" x14ac:dyDescent="0.25">
      <c r="A374" s="2803"/>
      <c r="B374" s="960" t="s">
        <v>14</v>
      </c>
      <c r="C374" s="2851"/>
      <c r="D374" s="961">
        <f t="shared" ref="D374:N374" si="341">+D383+D392+D401+D410+D419</f>
        <v>14863399</v>
      </c>
      <c r="E374" s="962">
        <f t="shared" si="341"/>
        <v>842747</v>
      </c>
      <c r="F374" s="962">
        <f t="shared" si="341"/>
        <v>1914754</v>
      </c>
      <c r="G374" s="962">
        <f t="shared" si="341"/>
        <v>12105898</v>
      </c>
      <c r="H374" s="963">
        <f t="shared" si="341"/>
        <v>0</v>
      </c>
      <c r="I374" s="961">
        <f t="shared" si="341"/>
        <v>14863399</v>
      </c>
      <c r="J374" s="962">
        <f t="shared" si="341"/>
        <v>842747</v>
      </c>
      <c r="K374" s="962">
        <f t="shared" si="341"/>
        <v>1914754</v>
      </c>
      <c r="L374" s="962">
        <f t="shared" si="341"/>
        <v>12105898</v>
      </c>
      <c r="M374" s="964">
        <f t="shared" si="341"/>
        <v>0</v>
      </c>
      <c r="N374" s="961">
        <f t="shared" si="341"/>
        <v>2757501</v>
      </c>
      <c r="O374" s="965">
        <f t="shared" si="308"/>
        <v>18.552290764716737</v>
      </c>
      <c r="P374" s="962">
        <f>+P383+P392+P401+P410+P419</f>
        <v>0</v>
      </c>
      <c r="Q374" s="965">
        <f t="shared" si="312"/>
        <v>0</v>
      </c>
      <c r="R374" s="962">
        <f t="shared" si="336"/>
        <v>-12105898</v>
      </c>
      <c r="S374" s="2847"/>
      <c r="T374" s="537"/>
    </row>
    <row r="375" spans="1:20" ht="22.5" hidden="1" customHeight="1" x14ac:dyDescent="0.2">
      <c r="A375" s="2852" t="s">
        <v>88</v>
      </c>
      <c r="B375" s="966" t="s">
        <v>94</v>
      </c>
      <c r="C375" s="967"/>
      <c r="D375" s="968"/>
      <c r="E375" s="969"/>
      <c r="F375" s="969"/>
      <c r="G375" s="969"/>
      <c r="H375" s="970"/>
      <c r="I375" s="971"/>
      <c r="J375" s="969"/>
      <c r="K375" s="969"/>
      <c r="L375" s="969"/>
      <c r="M375" s="970"/>
      <c r="N375" s="972"/>
      <c r="O375" s="973" t="e">
        <f t="shared" si="308"/>
        <v>#DIV/0!</v>
      </c>
      <c r="P375" s="969"/>
      <c r="Q375" s="973" t="e">
        <f t="shared" si="312"/>
        <v>#DIV/0!</v>
      </c>
      <c r="R375" s="969">
        <f t="shared" si="336"/>
        <v>0</v>
      </c>
      <c r="S375" s="2854" t="s">
        <v>95</v>
      </c>
      <c r="T375" s="537"/>
    </row>
    <row r="376" spans="1:20" ht="13.5" hidden="1" customHeight="1" x14ac:dyDescent="0.2">
      <c r="A376" s="2810"/>
      <c r="B376" s="565" t="s">
        <v>3</v>
      </c>
      <c r="C376" s="566"/>
      <c r="D376" s="974"/>
      <c r="E376" s="975"/>
      <c r="F376" s="975"/>
      <c r="G376" s="975"/>
      <c r="H376" s="976"/>
      <c r="I376" s="974"/>
      <c r="J376" s="975"/>
      <c r="K376" s="975"/>
      <c r="L376" s="975"/>
      <c r="M376" s="976"/>
      <c r="N376" s="974"/>
      <c r="O376" s="977" t="e">
        <f t="shared" si="308"/>
        <v>#DIV/0!</v>
      </c>
      <c r="P376" s="975"/>
      <c r="Q376" s="977" t="e">
        <f t="shared" si="312"/>
        <v>#DIV/0!</v>
      </c>
      <c r="R376" s="975">
        <f t="shared" si="336"/>
        <v>0</v>
      </c>
      <c r="S376" s="2855"/>
      <c r="T376" s="537"/>
    </row>
    <row r="377" spans="1:20" ht="13.5" hidden="1" customHeight="1" x14ac:dyDescent="0.2">
      <c r="A377" s="2810"/>
      <c r="B377" s="819" t="s">
        <v>18</v>
      </c>
      <c r="C377" s="2771" t="s">
        <v>46</v>
      </c>
      <c r="D377" s="978"/>
      <c r="E377" s="979"/>
      <c r="F377" s="979"/>
      <c r="G377" s="979"/>
      <c r="H377" s="980"/>
      <c r="I377" s="978"/>
      <c r="J377" s="979"/>
      <c r="K377" s="979"/>
      <c r="L377" s="979"/>
      <c r="M377" s="980"/>
      <c r="N377" s="978"/>
      <c r="O377" s="981" t="e">
        <f t="shared" si="308"/>
        <v>#DIV/0!</v>
      </c>
      <c r="P377" s="979"/>
      <c r="Q377" s="981" t="e">
        <f t="shared" si="312"/>
        <v>#DIV/0!</v>
      </c>
      <c r="R377" s="979">
        <f t="shared" si="336"/>
        <v>0</v>
      </c>
      <c r="S377" s="2855"/>
      <c r="T377" s="537"/>
    </row>
    <row r="378" spans="1:20" ht="13.5" hidden="1" customHeight="1" x14ac:dyDescent="0.2">
      <c r="A378" s="2810"/>
      <c r="B378" s="855" t="s">
        <v>5</v>
      </c>
      <c r="C378" s="2816"/>
      <c r="D378" s="697"/>
      <c r="E378" s="699"/>
      <c r="F378" s="733"/>
      <c r="G378" s="733"/>
      <c r="H378" s="824"/>
      <c r="I378" s="762"/>
      <c r="J378" s="733"/>
      <c r="K378" s="733"/>
      <c r="L378" s="733"/>
      <c r="M378" s="824"/>
      <c r="N378" s="762"/>
      <c r="O378" s="734" t="e">
        <f t="shared" si="308"/>
        <v>#DIV/0!</v>
      </c>
      <c r="P378" s="733"/>
      <c r="Q378" s="734" t="e">
        <f t="shared" si="312"/>
        <v>#DIV/0!</v>
      </c>
      <c r="R378" s="733">
        <f t="shared" si="336"/>
        <v>0</v>
      </c>
      <c r="S378" s="2855"/>
      <c r="T378" s="537"/>
    </row>
    <row r="379" spans="1:20" ht="12.75" hidden="1" customHeight="1" x14ac:dyDescent="0.2">
      <c r="A379" s="2810"/>
      <c r="B379" s="703" t="s">
        <v>13</v>
      </c>
      <c r="C379" s="2816"/>
      <c r="D379" s="704"/>
      <c r="E379" s="705"/>
      <c r="F379" s="705"/>
      <c r="G379" s="705"/>
      <c r="H379" s="825"/>
      <c r="I379" s="704"/>
      <c r="J379" s="705"/>
      <c r="K379" s="705"/>
      <c r="L379" s="705"/>
      <c r="M379" s="825"/>
      <c r="N379" s="704"/>
      <c r="O379" s="708" t="e">
        <f t="shared" si="308"/>
        <v>#DIV/0!</v>
      </c>
      <c r="P379" s="705"/>
      <c r="Q379" s="708" t="e">
        <f t="shared" si="312"/>
        <v>#DIV/0!</v>
      </c>
      <c r="R379" s="705">
        <f t="shared" si="336"/>
        <v>0</v>
      </c>
      <c r="S379" s="2855"/>
      <c r="T379" s="537"/>
    </row>
    <row r="380" spans="1:20" ht="10.5" hidden="1" customHeight="1" x14ac:dyDescent="0.2">
      <c r="A380" s="2810"/>
      <c r="B380" s="696" t="s">
        <v>14</v>
      </c>
      <c r="C380" s="2816"/>
      <c r="D380" s="697"/>
      <c r="E380" s="699"/>
      <c r="F380" s="699"/>
      <c r="G380" s="733"/>
      <c r="H380" s="824"/>
      <c r="I380" s="762"/>
      <c r="J380" s="733"/>
      <c r="K380" s="733"/>
      <c r="L380" s="733"/>
      <c r="M380" s="824"/>
      <c r="N380" s="762"/>
      <c r="O380" s="734" t="e">
        <f t="shared" si="308"/>
        <v>#DIV/0!</v>
      </c>
      <c r="P380" s="733"/>
      <c r="Q380" s="734" t="e">
        <f t="shared" si="312"/>
        <v>#DIV/0!</v>
      </c>
      <c r="R380" s="733">
        <f t="shared" si="336"/>
        <v>0</v>
      </c>
      <c r="S380" s="2855"/>
      <c r="T380" s="537"/>
    </row>
    <row r="381" spans="1:20" s="726" customFormat="1" ht="12.75" hidden="1" customHeight="1" x14ac:dyDescent="0.2">
      <c r="A381" s="2811"/>
      <c r="B381" s="565" t="s">
        <v>17</v>
      </c>
      <c r="C381" s="566"/>
      <c r="D381" s="826"/>
      <c r="E381" s="828"/>
      <c r="F381" s="828"/>
      <c r="G381" s="828"/>
      <c r="H381" s="875"/>
      <c r="I381" s="826"/>
      <c r="J381" s="828"/>
      <c r="K381" s="828"/>
      <c r="L381" s="828"/>
      <c r="M381" s="875"/>
      <c r="N381" s="826"/>
      <c r="O381" s="830" t="e">
        <f t="shared" si="308"/>
        <v>#DIV/0!</v>
      </c>
      <c r="P381" s="828"/>
      <c r="Q381" s="830" t="e">
        <f t="shared" si="312"/>
        <v>#DIV/0!</v>
      </c>
      <c r="R381" s="828">
        <f t="shared" si="336"/>
        <v>0</v>
      </c>
      <c r="S381" s="2816"/>
      <c r="T381" s="537"/>
    </row>
    <row r="382" spans="1:20" s="877" customFormat="1" ht="11.25" hidden="1" customHeight="1" x14ac:dyDescent="0.2">
      <c r="A382" s="2811"/>
      <c r="B382" s="703" t="s">
        <v>13</v>
      </c>
      <c r="C382" s="2771" t="s">
        <v>46</v>
      </c>
      <c r="D382" s="774"/>
      <c r="E382" s="775"/>
      <c r="F382" s="775"/>
      <c r="G382" s="775"/>
      <c r="H382" s="876"/>
      <c r="I382" s="774"/>
      <c r="J382" s="775"/>
      <c r="K382" s="775"/>
      <c r="L382" s="775"/>
      <c r="M382" s="876"/>
      <c r="N382" s="774"/>
      <c r="O382" s="779" t="e">
        <f t="shared" si="308"/>
        <v>#DIV/0!</v>
      </c>
      <c r="P382" s="775"/>
      <c r="Q382" s="779" t="e">
        <f t="shared" si="312"/>
        <v>#DIV/0!</v>
      </c>
      <c r="R382" s="775">
        <f t="shared" si="336"/>
        <v>0</v>
      </c>
      <c r="S382" s="2816"/>
      <c r="T382" s="537"/>
    </row>
    <row r="383" spans="1:20" s="726" customFormat="1" ht="12" hidden="1" customHeight="1" thickBot="1" x14ac:dyDescent="0.25">
      <c r="A383" s="2853"/>
      <c r="B383" s="982" t="s">
        <v>14</v>
      </c>
      <c r="C383" s="2856"/>
      <c r="D383" s="983"/>
      <c r="E383" s="984"/>
      <c r="F383" s="985"/>
      <c r="G383" s="986"/>
      <c r="H383" s="987"/>
      <c r="I383" s="988"/>
      <c r="J383" s="986"/>
      <c r="K383" s="986"/>
      <c r="L383" s="986"/>
      <c r="M383" s="987"/>
      <c r="N383" s="988"/>
      <c r="O383" s="989" t="e">
        <f t="shared" si="308"/>
        <v>#DIV/0!</v>
      </c>
      <c r="P383" s="986"/>
      <c r="Q383" s="989" t="e">
        <f t="shared" si="312"/>
        <v>#DIV/0!</v>
      </c>
      <c r="R383" s="986">
        <f t="shared" si="336"/>
        <v>0</v>
      </c>
      <c r="S383" s="2856"/>
      <c r="T383" s="537"/>
    </row>
    <row r="384" spans="1:20" ht="39" customHeight="1" x14ac:dyDescent="0.2">
      <c r="A384" s="2809" t="s">
        <v>89</v>
      </c>
      <c r="B384" s="746" t="s">
        <v>343</v>
      </c>
      <c r="C384" s="676" t="s">
        <v>225</v>
      </c>
      <c r="D384" s="862"/>
      <c r="E384" s="863"/>
      <c r="F384" s="863"/>
      <c r="G384" s="863"/>
      <c r="H384" s="864"/>
      <c r="I384" s="862"/>
      <c r="J384" s="863"/>
      <c r="K384" s="863"/>
      <c r="L384" s="863"/>
      <c r="M384" s="864"/>
      <c r="N384" s="862"/>
      <c r="O384" s="865"/>
      <c r="P384" s="863"/>
      <c r="Q384" s="865"/>
      <c r="R384" s="863"/>
      <c r="S384" s="2823" t="s">
        <v>95</v>
      </c>
      <c r="T384" s="537"/>
    </row>
    <row r="385" spans="1:20" ht="11.25" customHeight="1" x14ac:dyDescent="0.2">
      <c r="A385" s="2810"/>
      <c r="B385" s="565" t="s">
        <v>3</v>
      </c>
      <c r="C385" s="566"/>
      <c r="D385" s="920">
        <f>+D386+D388</f>
        <v>6202669</v>
      </c>
      <c r="E385" s="921">
        <f>+E386+E388</f>
        <v>424264</v>
      </c>
      <c r="F385" s="921">
        <f>+F386+F388</f>
        <v>5778405</v>
      </c>
      <c r="G385" s="922">
        <f>+G386+G388</f>
        <v>0</v>
      </c>
      <c r="H385" s="923">
        <v>0</v>
      </c>
      <c r="I385" s="920">
        <f>+I386+I388</f>
        <v>6202668.3099999996</v>
      </c>
      <c r="J385" s="921">
        <f>+J386+J388</f>
        <v>424264</v>
      </c>
      <c r="K385" s="921">
        <f>+K386+K388</f>
        <v>5778404.3099999996</v>
      </c>
      <c r="L385" s="922">
        <f>+L386+L388</f>
        <v>0</v>
      </c>
      <c r="M385" s="923">
        <v>0</v>
      </c>
      <c r="N385" s="920">
        <f>+N386+N388</f>
        <v>6202668.3099999996</v>
      </c>
      <c r="O385" s="924">
        <f t="shared" si="308"/>
        <v>99.999988875756543</v>
      </c>
      <c r="P385" s="922">
        <f>+P386+P388</f>
        <v>0</v>
      </c>
      <c r="Q385" s="922">
        <v>0</v>
      </c>
      <c r="R385" s="921">
        <f t="shared" si="336"/>
        <v>0</v>
      </c>
      <c r="S385" s="2824"/>
      <c r="T385" s="537"/>
    </row>
    <row r="386" spans="1:20" ht="11.25" customHeight="1" x14ac:dyDescent="0.2">
      <c r="A386" s="2810"/>
      <c r="B386" s="819" t="s">
        <v>18</v>
      </c>
      <c r="C386" s="2771" t="s">
        <v>46</v>
      </c>
      <c r="D386" s="856">
        <f>+D387</f>
        <v>1102669</v>
      </c>
      <c r="E386" s="857">
        <f>+E387</f>
        <v>63640</v>
      </c>
      <c r="F386" s="857">
        <f>+F387</f>
        <v>1039029</v>
      </c>
      <c r="G386" s="858">
        <f>+G387</f>
        <v>0</v>
      </c>
      <c r="H386" s="859">
        <v>0</v>
      </c>
      <c r="I386" s="856">
        <f>+I387</f>
        <v>1102668.8799999999</v>
      </c>
      <c r="J386" s="857">
        <f>+J387</f>
        <v>63640</v>
      </c>
      <c r="K386" s="857">
        <f>+K387</f>
        <v>1039028.88</v>
      </c>
      <c r="L386" s="858">
        <f>+L387</f>
        <v>0</v>
      </c>
      <c r="M386" s="859">
        <v>0</v>
      </c>
      <c r="N386" s="856">
        <f>+N387</f>
        <v>1102668.8799999999</v>
      </c>
      <c r="O386" s="860">
        <f t="shared" si="308"/>
        <v>99.999989117314442</v>
      </c>
      <c r="P386" s="858">
        <f>+P387</f>
        <v>0</v>
      </c>
      <c r="Q386" s="858">
        <v>0</v>
      </c>
      <c r="R386" s="857">
        <f t="shared" si="336"/>
        <v>0</v>
      </c>
      <c r="S386" s="2824"/>
      <c r="T386" s="537"/>
    </row>
    <row r="387" spans="1:20" ht="11.25" customHeight="1" x14ac:dyDescent="0.2">
      <c r="A387" s="2810"/>
      <c r="B387" s="855" t="s">
        <v>5</v>
      </c>
      <c r="C387" s="2842"/>
      <c r="D387" s="697">
        <f>+E387+F387+G387+H387</f>
        <v>1102669</v>
      </c>
      <c r="E387" s="699">
        <f>24348-23250+62542</f>
        <v>63640</v>
      </c>
      <c r="F387" s="733">
        <v>1039029</v>
      </c>
      <c r="G387" s="735">
        <v>0</v>
      </c>
      <c r="H387" s="873">
        <v>0</v>
      </c>
      <c r="I387" s="697">
        <f>+J387+K387+L387+M387</f>
        <v>1102668.8799999999</v>
      </c>
      <c r="J387" s="699">
        <f>24348-23250+62542</f>
        <v>63640</v>
      </c>
      <c r="K387" s="733">
        <v>1039028.88</v>
      </c>
      <c r="L387" s="735">
        <v>0</v>
      </c>
      <c r="M387" s="873">
        <v>0</v>
      </c>
      <c r="N387" s="762">
        <f>J387+K387+P387</f>
        <v>1102668.8799999999</v>
      </c>
      <c r="O387" s="734">
        <f t="shared" si="308"/>
        <v>99.999989117314442</v>
      </c>
      <c r="P387" s="735">
        <v>0</v>
      </c>
      <c r="Q387" s="735">
        <v>0</v>
      </c>
      <c r="R387" s="733">
        <f t="shared" si="336"/>
        <v>0</v>
      </c>
      <c r="S387" s="2824"/>
      <c r="T387" s="537"/>
    </row>
    <row r="388" spans="1:20" ht="11.25" customHeight="1" x14ac:dyDescent="0.2">
      <c r="A388" s="2810"/>
      <c r="B388" s="703" t="s">
        <v>13</v>
      </c>
      <c r="C388" s="2842"/>
      <c r="D388" s="704">
        <f>+D389</f>
        <v>5100000</v>
      </c>
      <c r="E388" s="705">
        <f>+E389</f>
        <v>360624</v>
      </c>
      <c r="F388" s="705">
        <f>+F389</f>
        <v>4739376</v>
      </c>
      <c r="G388" s="706">
        <f>+G389</f>
        <v>0</v>
      </c>
      <c r="H388" s="913">
        <v>0</v>
      </c>
      <c r="I388" s="704">
        <f>+I389</f>
        <v>5099999.43</v>
      </c>
      <c r="J388" s="705">
        <f>+J389</f>
        <v>360624</v>
      </c>
      <c r="K388" s="705">
        <f>+K389</f>
        <v>4739375.43</v>
      </c>
      <c r="L388" s="706">
        <f>+L389</f>
        <v>0</v>
      </c>
      <c r="M388" s="913">
        <v>0</v>
      </c>
      <c r="N388" s="704">
        <f>+N389</f>
        <v>5099999.43</v>
      </c>
      <c r="O388" s="708">
        <f t="shared" si="308"/>
        <v>99.999988823529407</v>
      </c>
      <c r="P388" s="706">
        <f>+P389</f>
        <v>0</v>
      </c>
      <c r="Q388" s="706">
        <v>0</v>
      </c>
      <c r="R388" s="705">
        <f t="shared" si="336"/>
        <v>0</v>
      </c>
      <c r="S388" s="2824"/>
      <c r="T388" s="537"/>
    </row>
    <row r="389" spans="1:20" ht="11.25" customHeight="1" x14ac:dyDescent="0.2">
      <c r="A389" s="2810"/>
      <c r="B389" s="696" t="s">
        <v>14</v>
      </c>
      <c r="C389" s="2842"/>
      <c r="D389" s="697">
        <f>+E389+F389+G389+H389</f>
        <v>5100000</v>
      </c>
      <c r="E389" s="699">
        <f>137972-131750+354402</f>
        <v>360624</v>
      </c>
      <c r="F389" s="733">
        <v>4739376</v>
      </c>
      <c r="G389" s="735">
        <v>0</v>
      </c>
      <c r="H389" s="873">
        <v>0</v>
      </c>
      <c r="I389" s="697">
        <f>+J389+K389+L389+M389</f>
        <v>5099999.43</v>
      </c>
      <c r="J389" s="699">
        <f>137972-131750+354402</f>
        <v>360624</v>
      </c>
      <c r="K389" s="733">
        <v>4739375.43</v>
      </c>
      <c r="L389" s="735">
        <v>0</v>
      </c>
      <c r="M389" s="873">
        <v>0</v>
      </c>
      <c r="N389" s="762">
        <f>J389+K389+P389</f>
        <v>5099999.43</v>
      </c>
      <c r="O389" s="734">
        <f t="shared" si="308"/>
        <v>99.999988823529407</v>
      </c>
      <c r="P389" s="735">
        <v>0</v>
      </c>
      <c r="Q389" s="735">
        <v>0</v>
      </c>
      <c r="R389" s="733">
        <f t="shared" si="336"/>
        <v>0</v>
      </c>
      <c r="S389" s="2824"/>
      <c r="T389" s="537"/>
    </row>
    <row r="390" spans="1:20" s="726" customFormat="1" ht="11.25" customHeight="1" x14ac:dyDescent="0.2">
      <c r="A390" s="2811"/>
      <c r="B390" s="565" t="s">
        <v>17</v>
      </c>
      <c r="C390" s="566"/>
      <c r="D390" s="920">
        <f>+D391</f>
        <v>5100000</v>
      </c>
      <c r="E390" s="921">
        <f t="shared" ref="E390:F391" si="342">+E391</f>
        <v>0</v>
      </c>
      <c r="F390" s="921">
        <f t="shared" si="342"/>
        <v>536762</v>
      </c>
      <c r="G390" s="921">
        <f>G391</f>
        <v>4563238</v>
      </c>
      <c r="H390" s="922">
        <f>H391</f>
        <v>0</v>
      </c>
      <c r="I390" s="920">
        <f>+I391</f>
        <v>5100000</v>
      </c>
      <c r="J390" s="921">
        <f t="shared" ref="J390:K391" si="343">+J391</f>
        <v>0</v>
      </c>
      <c r="K390" s="921">
        <f t="shared" si="343"/>
        <v>536762</v>
      </c>
      <c r="L390" s="921">
        <f>L391</f>
        <v>4563238</v>
      </c>
      <c r="M390" s="990">
        <f>M391</f>
        <v>0</v>
      </c>
      <c r="N390" s="920">
        <f>+N391</f>
        <v>536762</v>
      </c>
      <c r="O390" s="924">
        <f t="shared" si="308"/>
        <v>10.524745098039217</v>
      </c>
      <c r="P390" s="921">
        <f>+P391</f>
        <v>0</v>
      </c>
      <c r="Q390" s="924">
        <f t="shared" si="312"/>
        <v>0</v>
      </c>
      <c r="R390" s="921">
        <f t="shared" si="336"/>
        <v>-4563238</v>
      </c>
      <c r="S390" s="2824"/>
      <c r="T390" s="537"/>
    </row>
    <row r="391" spans="1:20" s="877" customFormat="1" ht="11.25" customHeight="1" x14ac:dyDescent="0.2">
      <c r="A391" s="2811"/>
      <c r="B391" s="703" t="s">
        <v>13</v>
      </c>
      <c r="C391" s="2816"/>
      <c r="D391" s="856">
        <f>+D392</f>
        <v>5100000</v>
      </c>
      <c r="E391" s="857">
        <f t="shared" si="342"/>
        <v>0</v>
      </c>
      <c r="F391" s="857">
        <f t="shared" si="342"/>
        <v>536762</v>
      </c>
      <c r="G391" s="857">
        <f>G392</f>
        <v>4563238</v>
      </c>
      <c r="H391" s="858">
        <f>H392</f>
        <v>0</v>
      </c>
      <c r="I391" s="856">
        <f>+I392</f>
        <v>5100000</v>
      </c>
      <c r="J391" s="857">
        <f t="shared" si="343"/>
        <v>0</v>
      </c>
      <c r="K391" s="857">
        <f t="shared" si="343"/>
        <v>536762</v>
      </c>
      <c r="L391" s="857">
        <f>L392</f>
        <v>4563238</v>
      </c>
      <c r="M391" s="859">
        <f>M392</f>
        <v>0</v>
      </c>
      <c r="N391" s="856">
        <f>+N392</f>
        <v>536762</v>
      </c>
      <c r="O391" s="860">
        <f t="shared" si="308"/>
        <v>10.524745098039217</v>
      </c>
      <c r="P391" s="857">
        <f>+P392</f>
        <v>0</v>
      </c>
      <c r="Q391" s="860">
        <f t="shared" si="312"/>
        <v>0</v>
      </c>
      <c r="R391" s="857">
        <f t="shared" si="336"/>
        <v>-4563238</v>
      </c>
      <c r="S391" s="2816"/>
      <c r="T391" s="537"/>
    </row>
    <row r="392" spans="1:20" s="726" customFormat="1" ht="11.25" customHeight="1" thickBot="1" x14ac:dyDescent="0.25">
      <c r="A392" s="2812"/>
      <c r="B392" s="780" t="s">
        <v>14</v>
      </c>
      <c r="C392" s="2818"/>
      <c r="D392" s="697">
        <f>+E392+F392+G392+H392</f>
        <v>5100000</v>
      </c>
      <c r="E392" s="699">
        <v>0</v>
      </c>
      <c r="F392" s="733">
        <v>536762</v>
      </c>
      <c r="G392" s="733">
        <v>4563238</v>
      </c>
      <c r="H392" s="735">
        <v>0</v>
      </c>
      <c r="I392" s="697">
        <f>+J392+K392+L392+M392</f>
        <v>5100000</v>
      </c>
      <c r="J392" s="699">
        <v>0</v>
      </c>
      <c r="K392" s="733">
        <v>536762</v>
      </c>
      <c r="L392" s="733">
        <v>4563238</v>
      </c>
      <c r="M392" s="736">
        <v>0</v>
      </c>
      <c r="N392" s="762">
        <f>J392+K392+P392</f>
        <v>536762</v>
      </c>
      <c r="O392" s="734">
        <f t="shared" si="308"/>
        <v>10.524745098039217</v>
      </c>
      <c r="P392" s="733">
        <v>0</v>
      </c>
      <c r="Q392" s="734">
        <f t="shared" si="312"/>
        <v>0</v>
      </c>
      <c r="R392" s="733">
        <f t="shared" si="336"/>
        <v>-4563238</v>
      </c>
      <c r="S392" s="2816"/>
      <c r="T392" s="537"/>
    </row>
    <row r="393" spans="1:20" ht="39.75" customHeight="1" x14ac:dyDescent="0.2">
      <c r="A393" s="2809" t="s">
        <v>96</v>
      </c>
      <c r="B393" s="746" t="s">
        <v>390</v>
      </c>
      <c r="C393" s="676" t="s">
        <v>225</v>
      </c>
      <c r="D393" s="862"/>
      <c r="E393" s="863"/>
      <c r="F393" s="863"/>
      <c r="G393" s="863"/>
      <c r="H393" s="864"/>
      <c r="I393" s="862"/>
      <c r="J393" s="863"/>
      <c r="K393" s="863"/>
      <c r="L393" s="863"/>
      <c r="M393" s="864"/>
      <c r="N393" s="862"/>
      <c r="O393" s="865"/>
      <c r="P393" s="863"/>
      <c r="Q393" s="865"/>
      <c r="R393" s="863"/>
      <c r="S393" s="2823" t="s">
        <v>95</v>
      </c>
      <c r="T393" s="537"/>
    </row>
    <row r="394" spans="1:20" x14ac:dyDescent="0.2">
      <c r="A394" s="2810"/>
      <c r="B394" s="565" t="s">
        <v>3</v>
      </c>
      <c r="C394" s="566"/>
      <c r="D394" s="920">
        <f>+D395+D397</f>
        <v>5552258</v>
      </c>
      <c r="E394" s="921">
        <f>+E395+E397</f>
        <v>612517</v>
      </c>
      <c r="F394" s="921">
        <f>+F395+F397</f>
        <v>4924741</v>
      </c>
      <c r="G394" s="921">
        <f>+G395+G397</f>
        <v>15000</v>
      </c>
      <c r="H394" s="923">
        <v>0</v>
      </c>
      <c r="I394" s="920">
        <f>+I395+I397</f>
        <v>5552258</v>
      </c>
      <c r="J394" s="921">
        <f>+J395+J397</f>
        <v>612517</v>
      </c>
      <c r="K394" s="921">
        <f>+K395+K397</f>
        <v>4924741</v>
      </c>
      <c r="L394" s="921">
        <f>+L395+L397</f>
        <v>15000</v>
      </c>
      <c r="M394" s="923">
        <v>0</v>
      </c>
      <c r="N394" s="920">
        <f>+N395+N397</f>
        <v>5537258</v>
      </c>
      <c r="O394" s="924">
        <f t="shared" si="308"/>
        <v>99.729839643618874</v>
      </c>
      <c r="P394" s="921">
        <f>+P395+P397</f>
        <v>0</v>
      </c>
      <c r="Q394" s="924">
        <f t="shared" si="312"/>
        <v>0</v>
      </c>
      <c r="R394" s="921">
        <f t="shared" si="336"/>
        <v>-15000</v>
      </c>
      <c r="S394" s="2824"/>
      <c r="T394" s="537"/>
    </row>
    <row r="395" spans="1:20" x14ac:dyDescent="0.2">
      <c r="A395" s="2810"/>
      <c r="B395" s="819" t="s">
        <v>18</v>
      </c>
      <c r="C395" s="2771" t="s">
        <v>46</v>
      </c>
      <c r="D395" s="856">
        <f>+D396</f>
        <v>845589</v>
      </c>
      <c r="E395" s="857">
        <f>+E396</f>
        <v>91878</v>
      </c>
      <c r="F395" s="857">
        <f>+F396</f>
        <v>738711</v>
      </c>
      <c r="G395" s="857">
        <f>+G396</f>
        <v>15000</v>
      </c>
      <c r="H395" s="859">
        <v>0</v>
      </c>
      <c r="I395" s="856">
        <f>+I396</f>
        <v>845589</v>
      </c>
      <c r="J395" s="857">
        <f>+J396</f>
        <v>91878</v>
      </c>
      <c r="K395" s="857">
        <f>+K396</f>
        <v>738711</v>
      </c>
      <c r="L395" s="857">
        <f>+L396</f>
        <v>15000</v>
      </c>
      <c r="M395" s="859">
        <v>0</v>
      </c>
      <c r="N395" s="856">
        <f>+N396</f>
        <v>830589</v>
      </c>
      <c r="O395" s="860">
        <f t="shared" si="308"/>
        <v>98.22608856075469</v>
      </c>
      <c r="P395" s="857">
        <f>+P396</f>
        <v>0</v>
      </c>
      <c r="Q395" s="860">
        <f t="shared" si="312"/>
        <v>0</v>
      </c>
      <c r="R395" s="857">
        <f t="shared" si="336"/>
        <v>-15000</v>
      </c>
      <c r="S395" s="2824"/>
      <c r="T395" s="537"/>
    </row>
    <row r="396" spans="1:20" x14ac:dyDescent="0.2">
      <c r="A396" s="2810"/>
      <c r="B396" s="855" t="s">
        <v>5</v>
      </c>
      <c r="C396" s="2842"/>
      <c r="D396" s="697">
        <f>+E396+F396+G396+H396</f>
        <v>845589</v>
      </c>
      <c r="E396" s="733">
        <v>91878</v>
      </c>
      <c r="F396" s="733">
        <v>738711</v>
      </c>
      <c r="G396" s="733">
        <v>15000</v>
      </c>
      <c r="H396" s="873">
        <v>0</v>
      </c>
      <c r="I396" s="697">
        <f>+J396+K396+L396+M396</f>
        <v>845589</v>
      </c>
      <c r="J396" s="733">
        <v>91878</v>
      </c>
      <c r="K396" s="733">
        <v>738711</v>
      </c>
      <c r="L396" s="733">
        <v>15000</v>
      </c>
      <c r="M396" s="873">
        <v>0</v>
      </c>
      <c r="N396" s="762">
        <f>J396+K396+P396</f>
        <v>830589</v>
      </c>
      <c r="O396" s="734">
        <f t="shared" ref="O396:O459" si="344">N396/D396*100</f>
        <v>98.22608856075469</v>
      </c>
      <c r="P396" s="733">
        <v>0</v>
      </c>
      <c r="Q396" s="734">
        <f t="shared" ref="Q396:Q456" si="345">P396/G396*100</f>
        <v>0</v>
      </c>
      <c r="R396" s="733">
        <f t="shared" si="336"/>
        <v>-15000</v>
      </c>
      <c r="S396" s="2824"/>
      <c r="T396" s="537"/>
    </row>
    <row r="397" spans="1:20" ht="12.75" customHeight="1" x14ac:dyDescent="0.2">
      <c r="A397" s="2810"/>
      <c r="B397" s="703" t="s">
        <v>13</v>
      </c>
      <c r="C397" s="2842"/>
      <c r="D397" s="705">
        <f>+D398</f>
        <v>4706669</v>
      </c>
      <c r="E397" s="705">
        <f>+E398</f>
        <v>520639</v>
      </c>
      <c r="F397" s="705">
        <f>+F398</f>
        <v>4186030</v>
      </c>
      <c r="G397" s="706">
        <f>+G398</f>
        <v>0</v>
      </c>
      <c r="H397" s="913">
        <v>0</v>
      </c>
      <c r="I397" s="704">
        <f>+I398</f>
        <v>4706669</v>
      </c>
      <c r="J397" s="705">
        <f>+J398</f>
        <v>520639</v>
      </c>
      <c r="K397" s="705">
        <f>+K398</f>
        <v>4186030</v>
      </c>
      <c r="L397" s="706">
        <f>+L398</f>
        <v>0</v>
      </c>
      <c r="M397" s="913">
        <v>0</v>
      </c>
      <c r="N397" s="704">
        <f>+N398</f>
        <v>4706669</v>
      </c>
      <c r="O397" s="708">
        <f t="shared" si="344"/>
        <v>100</v>
      </c>
      <c r="P397" s="706">
        <f>+P398</f>
        <v>0</v>
      </c>
      <c r="Q397" s="706">
        <v>0</v>
      </c>
      <c r="R397" s="705">
        <f t="shared" si="336"/>
        <v>0</v>
      </c>
      <c r="S397" s="2824"/>
      <c r="T397" s="537"/>
    </row>
    <row r="398" spans="1:20" x14ac:dyDescent="0.2">
      <c r="A398" s="2810"/>
      <c r="B398" s="696" t="s">
        <v>14</v>
      </c>
      <c r="C398" s="2842"/>
      <c r="D398" s="697">
        <f>+E398+F398+G398+H398</f>
        <v>4706669</v>
      </c>
      <c r="E398" s="733">
        <v>520639</v>
      </c>
      <c r="F398" s="733">
        <v>4186030</v>
      </c>
      <c r="G398" s="735">
        <v>0</v>
      </c>
      <c r="H398" s="873">
        <v>0</v>
      </c>
      <c r="I398" s="697">
        <f>+J398+K398+L398+M398</f>
        <v>4706669</v>
      </c>
      <c r="J398" s="733">
        <v>520639</v>
      </c>
      <c r="K398" s="733">
        <v>4186030</v>
      </c>
      <c r="L398" s="735">
        <v>0</v>
      </c>
      <c r="M398" s="873">
        <v>0</v>
      </c>
      <c r="N398" s="762">
        <f>J398+K398+P398</f>
        <v>4706669</v>
      </c>
      <c r="O398" s="734">
        <f t="shared" si="344"/>
        <v>100</v>
      </c>
      <c r="P398" s="735">
        <v>0</v>
      </c>
      <c r="Q398" s="735">
        <v>0</v>
      </c>
      <c r="R398" s="733">
        <f t="shared" si="336"/>
        <v>0</v>
      </c>
      <c r="S398" s="2824"/>
      <c r="T398" s="537"/>
    </row>
    <row r="399" spans="1:20" s="726" customFormat="1" ht="11.25" customHeight="1" x14ac:dyDescent="0.2">
      <c r="A399" s="2811"/>
      <c r="B399" s="565" t="s">
        <v>17</v>
      </c>
      <c r="C399" s="566"/>
      <c r="D399" s="920">
        <f>+D400+D402</f>
        <v>4706669</v>
      </c>
      <c r="E399" s="922">
        <v>0</v>
      </c>
      <c r="F399" s="921">
        <f>+F400</f>
        <v>1377992</v>
      </c>
      <c r="G399" s="921">
        <f>+G400</f>
        <v>3328677</v>
      </c>
      <c r="H399" s="922">
        <f>H400</f>
        <v>0</v>
      </c>
      <c r="I399" s="920">
        <f>+I400+I402</f>
        <v>4706669</v>
      </c>
      <c r="J399" s="922">
        <v>0</v>
      </c>
      <c r="K399" s="921">
        <f>+K400</f>
        <v>1377992</v>
      </c>
      <c r="L399" s="921">
        <f>+L400</f>
        <v>3328677</v>
      </c>
      <c r="M399" s="990">
        <f>M400</f>
        <v>0</v>
      </c>
      <c r="N399" s="920">
        <f>+N400</f>
        <v>1377992</v>
      </c>
      <c r="O399" s="924">
        <f t="shared" si="344"/>
        <v>29.277435910619591</v>
      </c>
      <c r="P399" s="921">
        <f>+P400</f>
        <v>0</v>
      </c>
      <c r="Q399" s="924">
        <f t="shared" si="345"/>
        <v>0</v>
      </c>
      <c r="R399" s="921">
        <f t="shared" si="336"/>
        <v>-3328677</v>
      </c>
      <c r="S399" s="2824"/>
      <c r="T399" s="537"/>
    </row>
    <row r="400" spans="1:20" s="877" customFormat="1" ht="12.75" customHeight="1" x14ac:dyDescent="0.2">
      <c r="A400" s="2811"/>
      <c r="B400" s="703" t="s">
        <v>13</v>
      </c>
      <c r="C400" s="2771" t="s">
        <v>46</v>
      </c>
      <c r="D400" s="856">
        <f>+D401</f>
        <v>4706669</v>
      </c>
      <c r="E400" s="858">
        <v>0</v>
      </c>
      <c r="F400" s="857">
        <f>+F401</f>
        <v>1377992</v>
      </c>
      <c r="G400" s="857">
        <f>+G401</f>
        <v>3328677</v>
      </c>
      <c r="H400" s="858">
        <f>H401</f>
        <v>0</v>
      </c>
      <c r="I400" s="856">
        <f>+I401</f>
        <v>4706669</v>
      </c>
      <c r="J400" s="858">
        <v>0</v>
      </c>
      <c r="K400" s="857">
        <f>+K401</f>
        <v>1377992</v>
      </c>
      <c r="L400" s="857">
        <f>+L401</f>
        <v>3328677</v>
      </c>
      <c r="M400" s="859">
        <f>M401</f>
        <v>0</v>
      </c>
      <c r="N400" s="856">
        <f>+N401</f>
        <v>1377992</v>
      </c>
      <c r="O400" s="860">
        <f t="shared" si="344"/>
        <v>29.277435910619591</v>
      </c>
      <c r="P400" s="857">
        <f>+P401</f>
        <v>0</v>
      </c>
      <c r="Q400" s="860">
        <f t="shared" si="345"/>
        <v>0</v>
      </c>
      <c r="R400" s="857">
        <f t="shared" si="336"/>
        <v>-3328677</v>
      </c>
      <c r="S400" s="2816"/>
      <c r="T400" s="537"/>
    </row>
    <row r="401" spans="1:20" s="726" customFormat="1" ht="14.25" customHeight="1" thickBot="1" x14ac:dyDescent="0.25">
      <c r="A401" s="2812"/>
      <c r="B401" s="780" t="s">
        <v>14</v>
      </c>
      <c r="C401" s="2818"/>
      <c r="D401" s="718">
        <f>+E401+F401+G401+H401</f>
        <v>4706669</v>
      </c>
      <c r="E401" s="719">
        <v>0</v>
      </c>
      <c r="F401" s="786">
        <v>1377992</v>
      </c>
      <c r="G401" s="786">
        <v>3328677</v>
      </c>
      <c r="H401" s="991">
        <v>0</v>
      </c>
      <c r="I401" s="718">
        <f>+J401+K401+L401+M401</f>
        <v>4706669</v>
      </c>
      <c r="J401" s="719">
        <v>0</v>
      </c>
      <c r="K401" s="786">
        <v>1377992</v>
      </c>
      <c r="L401" s="786">
        <v>3328677</v>
      </c>
      <c r="M401" s="991">
        <v>0</v>
      </c>
      <c r="N401" s="784">
        <f>J401+K401+P401</f>
        <v>1377992</v>
      </c>
      <c r="O401" s="891">
        <f t="shared" si="344"/>
        <v>29.277435910619591</v>
      </c>
      <c r="P401" s="786">
        <v>0</v>
      </c>
      <c r="Q401" s="891">
        <f t="shared" si="345"/>
        <v>0</v>
      </c>
      <c r="R401" s="786">
        <f t="shared" si="336"/>
        <v>-3328677</v>
      </c>
      <c r="S401" s="2818"/>
      <c r="T401" s="537"/>
    </row>
    <row r="402" spans="1:20" ht="38.25" x14ac:dyDescent="0.2">
      <c r="A402" s="2809" t="s">
        <v>98</v>
      </c>
      <c r="B402" s="746" t="s">
        <v>344</v>
      </c>
      <c r="C402" s="676" t="s">
        <v>225</v>
      </c>
      <c r="D402" s="862"/>
      <c r="E402" s="863"/>
      <c r="F402" s="863"/>
      <c r="G402" s="863"/>
      <c r="H402" s="864"/>
      <c r="I402" s="862"/>
      <c r="J402" s="863"/>
      <c r="K402" s="863"/>
      <c r="L402" s="863"/>
      <c r="M402" s="864"/>
      <c r="N402" s="862"/>
      <c r="O402" s="865"/>
      <c r="P402" s="863"/>
      <c r="Q402" s="865"/>
      <c r="R402" s="863"/>
      <c r="S402" s="2823" t="s">
        <v>95</v>
      </c>
      <c r="T402" s="537"/>
    </row>
    <row r="403" spans="1:20" x14ac:dyDescent="0.2">
      <c r="A403" s="2810"/>
      <c r="B403" s="565" t="s">
        <v>3</v>
      </c>
      <c r="C403" s="566"/>
      <c r="D403" s="920">
        <f t="shared" ref="D403:G403" si="346">+D404+D406</f>
        <v>6000000</v>
      </c>
      <c r="E403" s="921">
        <f t="shared" si="346"/>
        <v>5949094</v>
      </c>
      <c r="F403" s="921">
        <f t="shared" si="346"/>
        <v>3361</v>
      </c>
      <c r="G403" s="921">
        <f t="shared" si="346"/>
        <v>47545</v>
      </c>
      <c r="H403" s="922">
        <f>+H404+H406</f>
        <v>0</v>
      </c>
      <c r="I403" s="920">
        <f t="shared" ref="I403:N403" si="347">+I404+I406</f>
        <v>6000000</v>
      </c>
      <c r="J403" s="921">
        <f t="shared" si="347"/>
        <v>5949094</v>
      </c>
      <c r="K403" s="921">
        <f t="shared" si="347"/>
        <v>3361</v>
      </c>
      <c r="L403" s="921">
        <f t="shared" si="347"/>
        <v>47545</v>
      </c>
      <c r="M403" s="990">
        <f>+M404+M406</f>
        <v>0</v>
      </c>
      <c r="N403" s="920">
        <f t="shared" si="347"/>
        <v>5952455</v>
      </c>
      <c r="O403" s="924">
        <f t="shared" si="344"/>
        <v>99.207583333333332</v>
      </c>
      <c r="P403" s="921">
        <f>+P404+P406</f>
        <v>0</v>
      </c>
      <c r="Q403" s="924">
        <f t="shared" si="345"/>
        <v>0</v>
      </c>
      <c r="R403" s="921">
        <f t="shared" si="336"/>
        <v>-47545</v>
      </c>
      <c r="S403" s="2824"/>
      <c r="T403" s="537"/>
    </row>
    <row r="404" spans="1:20" ht="14.25" customHeight="1" x14ac:dyDescent="0.2">
      <c r="A404" s="2810"/>
      <c r="B404" s="819" t="s">
        <v>18</v>
      </c>
      <c r="C404" s="2771" t="s">
        <v>46</v>
      </c>
      <c r="D404" s="856">
        <f t="shared" ref="D404:H404" si="348">+D405</f>
        <v>943270</v>
      </c>
      <c r="E404" s="857">
        <f t="shared" si="348"/>
        <v>892364</v>
      </c>
      <c r="F404" s="857">
        <f t="shared" si="348"/>
        <v>3361</v>
      </c>
      <c r="G404" s="857">
        <f t="shared" si="348"/>
        <v>47545</v>
      </c>
      <c r="H404" s="858">
        <f t="shared" si="348"/>
        <v>0</v>
      </c>
      <c r="I404" s="856">
        <f t="shared" ref="I404:N404" si="349">+I405</f>
        <v>943270</v>
      </c>
      <c r="J404" s="857">
        <f t="shared" si="349"/>
        <v>892364</v>
      </c>
      <c r="K404" s="857">
        <f t="shared" si="349"/>
        <v>3361</v>
      </c>
      <c r="L404" s="857">
        <f t="shared" si="349"/>
        <v>47545</v>
      </c>
      <c r="M404" s="859">
        <f t="shared" si="349"/>
        <v>0</v>
      </c>
      <c r="N404" s="856">
        <f t="shared" si="349"/>
        <v>895725</v>
      </c>
      <c r="O404" s="860">
        <f t="shared" si="344"/>
        <v>94.959555588537754</v>
      </c>
      <c r="P404" s="857">
        <f>+P405</f>
        <v>0</v>
      </c>
      <c r="Q404" s="860">
        <f t="shared" si="345"/>
        <v>0</v>
      </c>
      <c r="R404" s="857">
        <f t="shared" si="336"/>
        <v>-47545</v>
      </c>
      <c r="S404" s="2824"/>
      <c r="T404" s="537"/>
    </row>
    <row r="405" spans="1:20" ht="14.25" customHeight="1" x14ac:dyDescent="0.2">
      <c r="A405" s="2810"/>
      <c r="B405" s="855" t="s">
        <v>5</v>
      </c>
      <c r="C405" s="2842"/>
      <c r="D405" s="697">
        <f>+E405+F405+G405+H405</f>
        <v>943270</v>
      </c>
      <c r="E405" s="733">
        <f>765000-618611+745975</f>
        <v>892364</v>
      </c>
      <c r="F405" s="733">
        <v>3361</v>
      </c>
      <c r="G405" s="733">
        <v>47545</v>
      </c>
      <c r="H405" s="735">
        <v>0</v>
      </c>
      <c r="I405" s="697">
        <f>+J405+K405+L405+M405</f>
        <v>943270</v>
      </c>
      <c r="J405" s="733">
        <f>765000-618611+745975</f>
        <v>892364</v>
      </c>
      <c r="K405" s="733">
        <v>3361</v>
      </c>
      <c r="L405" s="733">
        <v>47545</v>
      </c>
      <c r="M405" s="736">
        <v>0</v>
      </c>
      <c r="N405" s="762">
        <f>J405+K405+P405</f>
        <v>895725</v>
      </c>
      <c r="O405" s="734">
        <f t="shared" si="344"/>
        <v>94.959555588537754</v>
      </c>
      <c r="P405" s="733">
        <v>0</v>
      </c>
      <c r="Q405" s="734">
        <f t="shared" si="345"/>
        <v>0</v>
      </c>
      <c r="R405" s="733">
        <f t="shared" si="336"/>
        <v>-47545</v>
      </c>
      <c r="S405" s="2824"/>
      <c r="T405" s="537"/>
    </row>
    <row r="406" spans="1:20" ht="14.25" customHeight="1" x14ac:dyDescent="0.2">
      <c r="A406" s="2810"/>
      <c r="B406" s="703" t="s">
        <v>13</v>
      </c>
      <c r="C406" s="2842"/>
      <c r="D406" s="704">
        <f>+D407</f>
        <v>5056730</v>
      </c>
      <c r="E406" s="705">
        <f>+E407</f>
        <v>5056730</v>
      </c>
      <c r="F406" s="706">
        <f>+F407</f>
        <v>0</v>
      </c>
      <c r="G406" s="706">
        <f>+G407</f>
        <v>0</v>
      </c>
      <c r="H406" s="913">
        <v>0</v>
      </c>
      <c r="I406" s="704">
        <f>+I407</f>
        <v>5056730</v>
      </c>
      <c r="J406" s="705">
        <f>+J407</f>
        <v>5056730</v>
      </c>
      <c r="K406" s="706">
        <f>+K407</f>
        <v>0</v>
      </c>
      <c r="L406" s="706">
        <f>+L407</f>
        <v>0</v>
      </c>
      <c r="M406" s="913">
        <v>0</v>
      </c>
      <c r="N406" s="704">
        <f>+N407</f>
        <v>5056730</v>
      </c>
      <c r="O406" s="708">
        <f t="shared" si="344"/>
        <v>100</v>
      </c>
      <c r="P406" s="706">
        <f>+P407</f>
        <v>0</v>
      </c>
      <c r="Q406" s="706">
        <v>0</v>
      </c>
      <c r="R406" s="706">
        <f t="shared" si="336"/>
        <v>0</v>
      </c>
      <c r="S406" s="2824"/>
      <c r="T406" s="537"/>
    </row>
    <row r="407" spans="1:20" ht="14.25" customHeight="1" x14ac:dyDescent="0.2">
      <c r="A407" s="2810"/>
      <c r="B407" s="855" t="s">
        <v>99</v>
      </c>
      <c r="C407" s="2842"/>
      <c r="D407" s="697">
        <f>+E407+F407+G407+H407</f>
        <v>5056730</v>
      </c>
      <c r="E407" s="733">
        <f>4335000-3505464+4227194</f>
        <v>5056730</v>
      </c>
      <c r="F407" s="735">
        <v>0</v>
      </c>
      <c r="G407" s="735">
        <v>0</v>
      </c>
      <c r="H407" s="873">
        <v>0</v>
      </c>
      <c r="I407" s="697">
        <f>+J407+K407+L407+M407</f>
        <v>5056730</v>
      </c>
      <c r="J407" s="733">
        <f>4335000-3505464+4227194</f>
        <v>5056730</v>
      </c>
      <c r="K407" s="735">
        <v>0</v>
      </c>
      <c r="L407" s="735">
        <v>0</v>
      </c>
      <c r="M407" s="873">
        <v>0</v>
      </c>
      <c r="N407" s="762">
        <f>J407+K407+P407</f>
        <v>5056730</v>
      </c>
      <c r="O407" s="734">
        <f t="shared" si="344"/>
        <v>100</v>
      </c>
      <c r="P407" s="735">
        <v>0</v>
      </c>
      <c r="Q407" s="735">
        <v>0</v>
      </c>
      <c r="R407" s="735">
        <f t="shared" si="336"/>
        <v>0</v>
      </c>
      <c r="S407" s="2824"/>
      <c r="T407" s="537"/>
    </row>
    <row r="408" spans="1:20" s="726" customFormat="1" ht="14.25" customHeight="1" x14ac:dyDescent="0.2">
      <c r="A408" s="2811"/>
      <c r="B408" s="565" t="s">
        <v>17</v>
      </c>
      <c r="C408" s="566"/>
      <c r="D408" s="826">
        <f>+D409</f>
        <v>5056730</v>
      </c>
      <c r="E408" s="828">
        <f t="shared" ref="E408:F409" si="350">+E409</f>
        <v>842747</v>
      </c>
      <c r="F408" s="827">
        <f t="shared" si="350"/>
        <v>0</v>
      </c>
      <c r="G408" s="828">
        <f>G409</f>
        <v>4213983</v>
      </c>
      <c r="H408" s="827">
        <f>H409</f>
        <v>0</v>
      </c>
      <c r="I408" s="826">
        <f>+I409</f>
        <v>5056730</v>
      </c>
      <c r="J408" s="828">
        <f t="shared" ref="J408:K409" si="351">+J409</f>
        <v>842747</v>
      </c>
      <c r="K408" s="827">
        <f t="shared" si="351"/>
        <v>0</v>
      </c>
      <c r="L408" s="828">
        <f>L409</f>
        <v>4213983</v>
      </c>
      <c r="M408" s="843">
        <f>M409</f>
        <v>0</v>
      </c>
      <c r="N408" s="826">
        <f>+N409</f>
        <v>842747</v>
      </c>
      <c r="O408" s="830">
        <f t="shared" si="344"/>
        <v>16.66584927413566</v>
      </c>
      <c r="P408" s="827">
        <f>+P409</f>
        <v>0</v>
      </c>
      <c r="Q408" s="830">
        <f t="shared" si="345"/>
        <v>0</v>
      </c>
      <c r="R408" s="921">
        <f t="shared" si="336"/>
        <v>-4213983</v>
      </c>
      <c r="S408" s="2824"/>
      <c r="T408" s="537"/>
    </row>
    <row r="409" spans="1:20" s="877" customFormat="1" ht="14.25" customHeight="1" x14ac:dyDescent="0.2">
      <c r="A409" s="2811"/>
      <c r="B409" s="703" t="s">
        <v>13</v>
      </c>
      <c r="C409" s="2771" t="s">
        <v>46</v>
      </c>
      <c r="D409" s="774">
        <f>+D410</f>
        <v>5056730</v>
      </c>
      <c r="E409" s="775">
        <f t="shared" si="350"/>
        <v>842747</v>
      </c>
      <c r="F409" s="802">
        <f t="shared" si="350"/>
        <v>0</v>
      </c>
      <c r="G409" s="775">
        <f>G410</f>
        <v>4213983</v>
      </c>
      <c r="H409" s="802">
        <f>H410</f>
        <v>0</v>
      </c>
      <c r="I409" s="774">
        <f>+I410</f>
        <v>5056730</v>
      </c>
      <c r="J409" s="775">
        <f t="shared" si="351"/>
        <v>842747</v>
      </c>
      <c r="K409" s="802">
        <f t="shared" si="351"/>
        <v>0</v>
      </c>
      <c r="L409" s="775">
        <f>L410</f>
        <v>4213983</v>
      </c>
      <c r="M409" s="803">
        <f>M410</f>
        <v>0</v>
      </c>
      <c r="N409" s="774">
        <f>+N410</f>
        <v>842747</v>
      </c>
      <c r="O409" s="779">
        <f t="shared" si="344"/>
        <v>16.66584927413566</v>
      </c>
      <c r="P409" s="802">
        <f>+P410</f>
        <v>0</v>
      </c>
      <c r="Q409" s="779">
        <f t="shared" si="345"/>
        <v>0</v>
      </c>
      <c r="R409" s="857">
        <f t="shared" si="336"/>
        <v>-4213983</v>
      </c>
      <c r="S409" s="2816"/>
      <c r="T409" s="537"/>
    </row>
    <row r="410" spans="1:20" s="726" customFormat="1" ht="14.25" customHeight="1" thickBot="1" x14ac:dyDescent="0.25">
      <c r="A410" s="2812"/>
      <c r="B410" s="780" t="s">
        <v>14</v>
      </c>
      <c r="C410" s="2818"/>
      <c r="D410" s="718">
        <f>+E410+F410+G410+H410</f>
        <v>5056730</v>
      </c>
      <c r="E410" s="781">
        <v>842747</v>
      </c>
      <c r="F410" s="782">
        <v>0</v>
      </c>
      <c r="G410" s="781">
        <v>4213983</v>
      </c>
      <c r="H410" s="782">
        <v>0</v>
      </c>
      <c r="I410" s="718">
        <f>+J410+K410+L410+M410</f>
        <v>5056730</v>
      </c>
      <c r="J410" s="781">
        <v>842747</v>
      </c>
      <c r="K410" s="782">
        <v>0</v>
      </c>
      <c r="L410" s="781">
        <v>4213983</v>
      </c>
      <c r="M410" s="783">
        <v>0</v>
      </c>
      <c r="N410" s="784">
        <f>J410+K410+P410</f>
        <v>842747</v>
      </c>
      <c r="O410" s="785">
        <f t="shared" si="344"/>
        <v>16.66584927413566</v>
      </c>
      <c r="P410" s="782">
        <v>0</v>
      </c>
      <c r="Q410" s="785">
        <f t="shared" si="345"/>
        <v>0</v>
      </c>
      <c r="R410" s="733">
        <f t="shared" si="336"/>
        <v>-4213983</v>
      </c>
      <c r="S410" s="2816"/>
      <c r="T410" s="537"/>
    </row>
    <row r="411" spans="1:20" ht="39" hidden="1" thickBot="1" x14ac:dyDescent="0.25">
      <c r="A411" s="2857"/>
      <c r="B411" s="992" t="s">
        <v>100</v>
      </c>
      <c r="C411" s="993"/>
      <c r="D411" s="994"/>
      <c r="E411" s="995"/>
      <c r="F411" s="995"/>
      <c r="G411" s="995"/>
      <c r="H411" s="996"/>
      <c r="I411" s="2859" t="s">
        <v>101</v>
      </c>
      <c r="J411" s="2860"/>
      <c r="K411" s="2860"/>
      <c r="L411" s="2860"/>
      <c r="M411" s="2861"/>
      <c r="N411" s="997"/>
      <c r="O411" s="998" t="e">
        <f t="shared" si="344"/>
        <v>#DIV/0!</v>
      </c>
      <c r="P411" s="995"/>
      <c r="Q411" s="998" t="e">
        <f t="shared" si="345"/>
        <v>#DIV/0!</v>
      </c>
      <c r="R411" s="995"/>
      <c r="S411" s="2862" t="s">
        <v>95</v>
      </c>
      <c r="T411" s="537"/>
    </row>
    <row r="412" spans="1:20" ht="13.5" hidden="1" thickBot="1" x14ac:dyDescent="0.25">
      <c r="A412" s="2858"/>
      <c r="B412" s="565" t="s">
        <v>3</v>
      </c>
      <c r="C412" s="566"/>
      <c r="D412" s="999">
        <f>+D413</f>
        <v>0</v>
      </c>
      <c r="E412" s="1000">
        <f>+E413</f>
        <v>0</v>
      </c>
      <c r="F412" s="1000">
        <v>0</v>
      </c>
      <c r="G412" s="1000">
        <v>0</v>
      </c>
      <c r="H412" s="1001">
        <v>0</v>
      </c>
      <c r="I412" s="999">
        <f>+I413</f>
        <v>0</v>
      </c>
      <c r="J412" s="1000">
        <f>+J413</f>
        <v>0</v>
      </c>
      <c r="K412" s="1000">
        <v>0</v>
      </c>
      <c r="L412" s="1000">
        <v>0</v>
      </c>
      <c r="M412" s="1001">
        <v>0</v>
      </c>
      <c r="N412" s="999">
        <f>+N413+N415</f>
        <v>0</v>
      </c>
      <c r="O412" s="1000" t="e">
        <f t="shared" si="344"/>
        <v>#DIV/0!</v>
      </c>
      <c r="P412" s="1000">
        <v>0</v>
      </c>
      <c r="Q412" s="1000" t="e">
        <f t="shared" si="345"/>
        <v>#DIV/0!</v>
      </c>
      <c r="R412" s="1000">
        <f t="shared" ref="R412:R419" si="352">+P412-L412</f>
        <v>0</v>
      </c>
      <c r="S412" s="2855"/>
      <c r="T412" s="537"/>
    </row>
    <row r="413" spans="1:20" ht="11.25" hidden="1" customHeight="1" x14ac:dyDescent="0.2">
      <c r="A413" s="2858"/>
      <c r="B413" s="819" t="s">
        <v>18</v>
      </c>
      <c r="C413" s="2771" t="s">
        <v>46</v>
      </c>
      <c r="D413" s="1002">
        <f>+D414</f>
        <v>0</v>
      </c>
      <c r="E413" s="1003">
        <f>+E414</f>
        <v>0</v>
      </c>
      <c r="F413" s="1003">
        <v>0</v>
      </c>
      <c r="G413" s="1003">
        <v>0</v>
      </c>
      <c r="H413" s="1004">
        <v>0</v>
      </c>
      <c r="I413" s="1002">
        <f>+I414</f>
        <v>0</v>
      </c>
      <c r="J413" s="1003">
        <f>+J414</f>
        <v>0</v>
      </c>
      <c r="K413" s="1003">
        <v>0</v>
      </c>
      <c r="L413" s="1003">
        <v>0</v>
      </c>
      <c r="M413" s="1004">
        <v>0</v>
      </c>
      <c r="N413" s="1002">
        <f>+N414</f>
        <v>0</v>
      </c>
      <c r="O413" s="1003" t="e">
        <f t="shared" si="344"/>
        <v>#DIV/0!</v>
      </c>
      <c r="P413" s="1003">
        <v>0</v>
      </c>
      <c r="Q413" s="1003" t="e">
        <f t="shared" si="345"/>
        <v>#DIV/0!</v>
      </c>
      <c r="R413" s="1003">
        <f t="shared" si="352"/>
        <v>0</v>
      </c>
      <c r="S413" s="2855"/>
      <c r="T413" s="537"/>
    </row>
    <row r="414" spans="1:20" ht="13.5" hidden="1" thickBot="1" x14ac:dyDescent="0.25">
      <c r="A414" s="2858"/>
      <c r="B414" s="855" t="s">
        <v>5</v>
      </c>
      <c r="C414" s="2863"/>
      <c r="D414" s="1005">
        <v>0</v>
      </c>
      <c r="E414" s="735">
        <v>0</v>
      </c>
      <c r="F414" s="735">
        <v>0</v>
      </c>
      <c r="G414" s="735">
        <v>0</v>
      </c>
      <c r="H414" s="736">
        <v>0</v>
      </c>
      <c r="I414" s="1005">
        <v>0</v>
      </c>
      <c r="J414" s="735">
        <v>0</v>
      </c>
      <c r="K414" s="735">
        <v>0</v>
      </c>
      <c r="L414" s="735">
        <v>0</v>
      </c>
      <c r="M414" s="736">
        <v>0</v>
      </c>
      <c r="N414" s="898">
        <v>0</v>
      </c>
      <c r="O414" s="735" t="e">
        <f t="shared" si="344"/>
        <v>#DIV/0!</v>
      </c>
      <c r="P414" s="735">
        <v>0</v>
      </c>
      <c r="Q414" s="735" t="e">
        <f t="shared" si="345"/>
        <v>#DIV/0!</v>
      </c>
      <c r="R414" s="735">
        <f t="shared" si="352"/>
        <v>0</v>
      </c>
      <c r="S414" s="2855"/>
      <c r="T414" s="537"/>
    </row>
    <row r="415" spans="1:20" ht="12.75" hidden="1" customHeight="1" x14ac:dyDescent="0.2">
      <c r="A415" s="2858"/>
      <c r="B415" s="925" t="s">
        <v>13</v>
      </c>
      <c r="C415" s="2863"/>
      <c r="D415" s="897">
        <f>+D416</f>
        <v>0</v>
      </c>
      <c r="E415" s="706">
        <f>+E416</f>
        <v>0</v>
      </c>
      <c r="F415" s="706">
        <v>0</v>
      </c>
      <c r="G415" s="706">
        <v>0</v>
      </c>
      <c r="H415" s="707">
        <v>0</v>
      </c>
      <c r="I415" s="897">
        <f>+I416</f>
        <v>0</v>
      </c>
      <c r="J415" s="706">
        <f>+J416</f>
        <v>0</v>
      </c>
      <c r="K415" s="706">
        <v>0</v>
      </c>
      <c r="L415" s="706">
        <v>0</v>
      </c>
      <c r="M415" s="707">
        <v>0</v>
      </c>
      <c r="N415" s="897">
        <f>+N416</f>
        <v>0</v>
      </c>
      <c r="O415" s="706" t="e">
        <f t="shared" si="344"/>
        <v>#DIV/0!</v>
      </c>
      <c r="P415" s="706">
        <v>0</v>
      </c>
      <c r="Q415" s="706" t="e">
        <f t="shared" si="345"/>
        <v>#DIV/0!</v>
      </c>
      <c r="R415" s="706">
        <f t="shared" si="352"/>
        <v>0</v>
      </c>
      <c r="S415" s="2855"/>
      <c r="T415" s="537"/>
    </row>
    <row r="416" spans="1:20" ht="13.5" hidden="1" thickBot="1" x14ac:dyDescent="0.25">
      <c r="A416" s="2858"/>
      <c r="B416" s="696" t="s">
        <v>14</v>
      </c>
      <c r="C416" s="2863"/>
      <c r="D416" s="1005">
        <v>0</v>
      </c>
      <c r="E416" s="735">
        <v>0</v>
      </c>
      <c r="F416" s="735">
        <v>0</v>
      </c>
      <c r="G416" s="735">
        <v>0</v>
      </c>
      <c r="H416" s="736">
        <v>0</v>
      </c>
      <c r="I416" s="1005">
        <v>0</v>
      </c>
      <c r="J416" s="735">
        <v>0</v>
      </c>
      <c r="K416" s="735">
        <v>0</v>
      </c>
      <c r="L416" s="735">
        <v>0</v>
      </c>
      <c r="M416" s="736">
        <v>0</v>
      </c>
      <c r="N416" s="898">
        <v>0</v>
      </c>
      <c r="O416" s="735" t="e">
        <f t="shared" si="344"/>
        <v>#DIV/0!</v>
      </c>
      <c r="P416" s="735">
        <v>0</v>
      </c>
      <c r="Q416" s="735" t="e">
        <f t="shared" si="345"/>
        <v>#DIV/0!</v>
      </c>
      <c r="R416" s="735">
        <f t="shared" si="352"/>
        <v>0</v>
      </c>
      <c r="S416" s="2855"/>
      <c r="T416" s="537"/>
    </row>
    <row r="417" spans="1:20" s="726" customFormat="1" ht="12.75" hidden="1" customHeight="1" x14ac:dyDescent="0.2">
      <c r="A417" s="2811"/>
      <c r="B417" s="565" t="s">
        <v>17</v>
      </c>
      <c r="C417" s="566"/>
      <c r="D417" s="899">
        <f>+D418</f>
        <v>0</v>
      </c>
      <c r="E417" s="827">
        <f>+E418</f>
        <v>0</v>
      </c>
      <c r="F417" s="827">
        <v>0</v>
      </c>
      <c r="G417" s="827">
        <v>0</v>
      </c>
      <c r="H417" s="843">
        <v>0</v>
      </c>
      <c r="I417" s="899">
        <f>+I418</f>
        <v>0</v>
      </c>
      <c r="J417" s="827">
        <f>+J418</f>
        <v>0</v>
      </c>
      <c r="K417" s="827">
        <v>0</v>
      </c>
      <c r="L417" s="827">
        <v>0</v>
      </c>
      <c r="M417" s="843">
        <v>0</v>
      </c>
      <c r="N417" s="899">
        <f>+N418</f>
        <v>0</v>
      </c>
      <c r="O417" s="827" t="e">
        <f t="shared" si="344"/>
        <v>#DIV/0!</v>
      </c>
      <c r="P417" s="827">
        <v>0</v>
      </c>
      <c r="Q417" s="827" t="e">
        <f t="shared" si="345"/>
        <v>#DIV/0!</v>
      </c>
      <c r="R417" s="827">
        <f t="shared" si="352"/>
        <v>0</v>
      </c>
      <c r="S417" s="2816"/>
      <c r="T417" s="537"/>
    </row>
    <row r="418" spans="1:20" s="877" customFormat="1" ht="12.75" hidden="1" customHeight="1" x14ac:dyDescent="0.2">
      <c r="A418" s="2811"/>
      <c r="B418" s="925" t="s">
        <v>13</v>
      </c>
      <c r="C418" s="2771" t="s">
        <v>46</v>
      </c>
      <c r="D418" s="900">
        <f>+D419</f>
        <v>0</v>
      </c>
      <c r="E418" s="802">
        <f>+E419</f>
        <v>0</v>
      </c>
      <c r="F418" s="802">
        <v>0</v>
      </c>
      <c r="G418" s="802">
        <v>0</v>
      </c>
      <c r="H418" s="803">
        <v>0</v>
      </c>
      <c r="I418" s="900">
        <f>+I419</f>
        <v>0</v>
      </c>
      <c r="J418" s="802">
        <f>+J419</f>
        <v>0</v>
      </c>
      <c r="K418" s="802">
        <v>0</v>
      </c>
      <c r="L418" s="802">
        <v>0</v>
      </c>
      <c r="M418" s="803">
        <v>0</v>
      </c>
      <c r="N418" s="900">
        <f>+N419</f>
        <v>0</v>
      </c>
      <c r="O418" s="802" t="e">
        <f t="shared" si="344"/>
        <v>#DIV/0!</v>
      </c>
      <c r="P418" s="802">
        <v>0</v>
      </c>
      <c r="Q418" s="802" t="e">
        <f t="shared" si="345"/>
        <v>#DIV/0!</v>
      </c>
      <c r="R418" s="802">
        <f t="shared" si="352"/>
        <v>0</v>
      </c>
      <c r="S418" s="2816"/>
      <c r="T418" s="537"/>
    </row>
    <row r="419" spans="1:20" s="726" customFormat="1" ht="12.75" hidden="1" customHeight="1" thickBot="1" x14ac:dyDescent="0.25">
      <c r="A419" s="2812"/>
      <c r="B419" s="780" t="s">
        <v>14</v>
      </c>
      <c r="C419" s="2818"/>
      <c r="D419" s="1006">
        <v>0</v>
      </c>
      <c r="E419" s="782">
        <v>0</v>
      </c>
      <c r="F419" s="782">
        <v>0</v>
      </c>
      <c r="G419" s="782">
        <v>0</v>
      </c>
      <c r="H419" s="783">
        <v>0</v>
      </c>
      <c r="I419" s="1006">
        <v>0</v>
      </c>
      <c r="J419" s="782">
        <v>0</v>
      </c>
      <c r="K419" s="782">
        <v>0</v>
      </c>
      <c r="L419" s="782">
        <v>0</v>
      </c>
      <c r="M419" s="783">
        <v>0</v>
      </c>
      <c r="N419" s="1006">
        <v>0</v>
      </c>
      <c r="O419" s="782" t="e">
        <f t="shared" si="344"/>
        <v>#DIV/0!</v>
      </c>
      <c r="P419" s="782">
        <v>0</v>
      </c>
      <c r="Q419" s="782" t="e">
        <f t="shared" si="345"/>
        <v>#DIV/0!</v>
      </c>
      <c r="R419" s="782">
        <f t="shared" si="352"/>
        <v>0</v>
      </c>
      <c r="S419" s="2818"/>
      <c r="T419" s="537"/>
    </row>
    <row r="420" spans="1:20" ht="30" customHeight="1" x14ac:dyDescent="0.2">
      <c r="A420" s="1007" t="s">
        <v>102</v>
      </c>
      <c r="B420" s="599" t="s">
        <v>103</v>
      </c>
      <c r="C420" s="600"/>
      <c r="D420" s="601"/>
      <c r="E420" s="602"/>
      <c r="F420" s="602"/>
      <c r="G420" s="603"/>
      <c r="H420" s="604"/>
      <c r="I420" s="601"/>
      <c r="J420" s="603"/>
      <c r="K420" s="603"/>
      <c r="L420" s="603"/>
      <c r="M420" s="604"/>
      <c r="N420" s="601"/>
      <c r="O420" s="605"/>
      <c r="P420" s="603"/>
      <c r="Q420" s="605"/>
      <c r="R420" s="1008"/>
      <c r="S420" s="2873" t="s">
        <v>104</v>
      </c>
      <c r="T420" s="537"/>
    </row>
    <row r="421" spans="1:20" ht="13.5" customHeight="1" x14ac:dyDescent="0.2">
      <c r="A421" s="1009"/>
      <c r="B421" s="1010" t="s">
        <v>3</v>
      </c>
      <c r="C421" s="607"/>
      <c r="D421" s="608">
        <f>+D422+D426</f>
        <v>140000000</v>
      </c>
      <c r="E421" s="609">
        <f t="shared" ref="E421:N421" si="353">+E422+E426</f>
        <v>0</v>
      </c>
      <c r="F421" s="609">
        <f t="shared" si="353"/>
        <v>0</v>
      </c>
      <c r="G421" s="609">
        <f t="shared" si="353"/>
        <v>40000000</v>
      </c>
      <c r="H421" s="611">
        <f t="shared" si="353"/>
        <v>100000000</v>
      </c>
      <c r="I421" s="608">
        <f>+I422+I426</f>
        <v>140000000</v>
      </c>
      <c r="J421" s="609">
        <f>+J422+J426</f>
        <v>0</v>
      </c>
      <c r="K421" s="609">
        <f>+K422+K426</f>
        <v>0</v>
      </c>
      <c r="L421" s="609">
        <f>+L422+L426</f>
        <v>40000000</v>
      </c>
      <c r="M421" s="611">
        <f>+M422+M426</f>
        <v>100000000</v>
      </c>
      <c r="N421" s="608">
        <f t="shared" si="353"/>
        <v>0</v>
      </c>
      <c r="O421" s="938">
        <f t="shared" si="344"/>
        <v>0</v>
      </c>
      <c r="P421" s="609">
        <f>+P422+P426</f>
        <v>0</v>
      </c>
      <c r="Q421" s="938">
        <f t="shared" si="345"/>
        <v>0</v>
      </c>
      <c r="R421" s="609">
        <f>+P421-L421</f>
        <v>-40000000</v>
      </c>
      <c r="S421" s="2874"/>
      <c r="T421" s="537"/>
    </row>
    <row r="422" spans="1:20" s="547" customFormat="1" ht="13.5" customHeight="1" x14ac:dyDescent="0.2">
      <c r="A422" s="1009"/>
      <c r="B422" s="614" t="s">
        <v>4</v>
      </c>
      <c r="C422" s="2876"/>
      <c r="D422" s="620">
        <f>+D423+D424+D425</f>
        <v>70000000</v>
      </c>
      <c r="E422" s="616">
        <f t="shared" ref="E422:P422" si="354">+E423+E424+E425</f>
        <v>0</v>
      </c>
      <c r="F422" s="616">
        <f t="shared" si="354"/>
        <v>0</v>
      </c>
      <c r="G422" s="616">
        <f t="shared" si="354"/>
        <v>20000000</v>
      </c>
      <c r="H422" s="618">
        <f t="shared" si="354"/>
        <v>50000000</v>
      </c>
      <c r="I422" s="620">
        <f>+I423+I424+I425</f>
        <v>70000000</v>
      </c>
      <c r="J422" s="616">
        <f>+J423+J424+J425</f>
        <v>0</v>
      </c>
      <c r="K422" s="616">
        <f>+K423+K424+K425</f>
        <v>0</v>
      </c>
      <c r="L422" s="616">
        <f>+L423+L424+L425</f>
        <v>20000000</v>
      </c>
      <c r="M422" s="618">
        <f>+M423+M424+M425</f>
        <v>50000000</v>
      </c>
      <c r="N422" s="620">
        <f t="shared" si="354"/>
        <v>0</v>
      </c>
      <c r="O422" s="1011">
        <f t="shared" si="344"/>
        <v>0</v>
      </c>
      <c r="P422" s="616">
        <f t="shared" si="354"/>
        <v>0</v>
      </c>
      <c r="Q422" s="1012">
        <f t="shared" si="345"/>
        <v>0</v>
      </c>
      <c r="R422" s="616">
        <f t="shared" ref="R422:R447" si="355">+P422-L422</f>
        <v>-20000000</v>
      </c>
      <c r="S422" s="2874"/>
      <c r="T422" s="537"/>
    </row>
    <row r="423" spans="1:20" ht="12.75" customHeight="1" x14ac:dyDescent="0.2">
      <c r="A423" s="1009"/>
      <c r="B423" s="622" t="s">
        <v>5</v>
      </c>
      <c r="C423" s="2876"/>
      <c r="D423" s="624">
        <f>+D437</f>
        <v>15923964</v>
      </c>
      <c r="E423" s="625">
        <f t="shared" ref="E423:P425" si="356">+E437</f>
        <v>0</v>
      </c>
      <c r="F423" s="625">
        <f t="shared" si="356"/>
        <v>0</v>
      </c>
      <c r="G423" s="633">
        <f t="shared" si="356"/>
        <v>0</v>
      </c>
      <c r="H423" s="627">
        <f t="shared" si="356"/>
        <v>15923964</v>
      </c>
      <c r="I423" s="624">
        <f t="shared" si="356"/>
        <v>15923964</v>
      </c>
      <c r="J423" s="625">
        <f t="shared" si="356"/>
        <v>0</v>
      </c>
      <c r="K423" s="625">
        <f t="shared" si="356"/>
        <v>0</v>
      </c>
      <c r="L423" s="625">
        <f t="shared" si="356"/>
        <v>0</v>
      </c>
      <c r="M423" s="627">
        <f t="shared" si="356"/>
        <v>15923964</v>
      </c>
      <c r="N423" s="624">
        <f t="shared" si="356"/>
        <v>0</v>
      </c>
      <c r="O423" s="1013">
        <f t="shared" si="344"/>
        <v>0</v>
      </c>
      <c r="P423" s="633">
        <f t="shared" si="356"/>
        <v>0</v>
      </c>
      <c r="Q423" s="633">
        <v>0</v>
      </c>
      <c r="R423" s="625">
        <f t="shared" si="355"/>
        <v>0</v>
      </c>
      <c r="S423" s="2874"/>
      <c r="T423" s="537"/>
    </row>
    <row r="424" spans="1:20" ht="12.75" customHeight="1" x14ac:dyDescent="0.2">
      <c r="A424" s="1009"/>
      <c r="B424" s="630" t="s">
        <v>36</v>
      </c>
      <c r="C424" s="2876"/>
      <c r="D424" s="624">
        <f>+D438</f>
        <v>14587500</v>
      </c>
      <c r="E424" s="625">
        <f t="shared" si="356"/>
        <v>0</v>
      </c>
      <c r="F424" s="625">
        <f t="shared" si="356"/>
        <v>0</v>
      </c>
      <c r="G424" s="633">
        <f t="shared" si="356"/>
        <v>0</v>
      </c>
      <c r="H424" s="627">
        <f t="shared" si="356"/>
        <v>14587500</v>
      </c>
      <c r="I424" s="624">
        <f t="shared" si="356"/>
        <v>14587500</v>
      </c>
      <c r="J424" s="625">
        <f t="shared" si="356"/>
        <v>0</v>
      </c>
      <c r="K424" s="625">
        <f t="shared" si="356"/>
        <v>0</v>
      </c>
      <c r="L424" s="625">
        <f t="shared" si="356"/>
        <v>0</v>
      </c>
      <c r="M424" s="627">
        <f t="shared" si="356"/>
        <v>14587500</v>
      </c>
      <c r="N424" s="624">
        <f t="shared" si="356"/>
        <v>0</v>
      </c>
      <c r="O424" s="943">
        <f t="shared" si="344"/>
        <v>0</v>
      </c>
      <c r="P424" s="633">
        <f t="shared" si="356"/>
        <v>0</v>
      </c>
      <c r="Q424" s="633">
        <v>0</v>
      </c>
      <c r="R424" s="625">
        <f t="shared" si="355"/>
        <v>0</v>
      </c>
      <c r="S424" s="2874"/>
      <c r="T424" s="537"/>
    </row>
    <row r="425" spans="1:20" ht="12.75" customHeight="1" x14ac:dyDescent="0.2">
      <c r="A425" s="1009"/>
      <c r="B425" s="630" t="s">
        <v>105</v>
      </c>
      <c r="C425" s="2876"/>
      <c r="D425" s="624">
        <f>+D439</f>
        <v>39488536</v>
      </c>
      <c r="E425" s="625">
        <f t="shared" si="356"/>
        <v>0</v>
      </c>
      <c r="F425" s="625">
        <f t="shared" si="356"/>
        <v>0</v>
      </c>
      <c r="G425" s="625">
        <f t="shared" si="356"/>
        <v>20000000</v>
      </c>
      <c r="H425" s="627">
        <f t="shared" si="356"/>
        <v>19488536</v>
      </c>
      <c r="I425" s="624">
        <f t="shared" si="356"/>
        <v>39488536</v>
      </c>
      <c r="J425" s="625">
        <f t="shared" si="356"/>
        <v>0</v>
      </c>
      <c r="K425" s="625">
        <f t="shared" si="356"/>
        <v>0</v>
      </c>
      <c r="L425" s="625">
        <f t="shared" si="356"/>
        <v>20000000</v>
      </c>
      <c r="M425" s="627">
        <f t="shared" si="356"/>
        <v>19488536</v>
      </c>
      <c r="N425" s="624">
        <f t="shared" si="356"/>
        <v>0</v>
      </c>
      <c r="O425" s="943">
        <f t="shared" si="344"/>
        <v>0</v>
      </c>
      <c r="P425" s="625">
        <f t="shared" si="356"/>
        <v>0</v>
      </c>
      <c r="Q425" s="943">
        <f t="shared" si="345"/>
        <v>0</v>
      </c>
      <c r="R425" s="625">
        <f t="shared" si="355"/>
        <v>-20000000</v>
      </c>
      <c r="S425" s="2874"/>
      <c r="T425" s="537"/>
    </row>
    <row r="426" spans="1:20" s="547" customFormat="1" ht="12.75" customHeight="1" x14ac:dyDescent="0.2">
      <c r="A426" s="1009"/>
      <c r="B426" s="634" t="s">
        <v>13</v>
      </c>
      <c r="C426" s="2876"/>
      <c r="D426" s="635">
        <f>+D427</f>
        <v>70000000</v>
      </c>
      <c r="E426" s="636">
        <f t="shared" ref="E426:P426" si="357">+E427</f>
        <v>0</v>
      </c>
      <c r="F426" s="636">
        <f t="shared" si="357"/>
        <v>0</v>
      </c>
      <c r="G426" s="636">
        <f t="shared" si="357"/>
        <v>20000000</v>
      </c>
      <c r="H426" s="638">
        <f t="shared" si="357"/>
        <v>50000000</v>
      </c>
      <c r="I426" s="635">
        <f>+I427</f>
        <v>70000000</v>
      </c>
      <c r="J426" s="636">
        <f t="shared" si="357"/>
        <v>0</v>
      </c>
      <c r="K426" s="636">
        <f t="shared" si="357"/>
        <v>0</v>
      </c>
      <c r="L426" s="636">
        <f t="shared" si="357"/>
        <v>20000000</v>
      </c>
      <c r="M426" s="638">
        <f t="shared" si="357"/>
        <v>50000000</v>
      </c>
      <c r="N426" s="635">
        <f t="shared" si="357"/>
        <v>0</v>
      </c>
      <c r="O426" s="625">
        <f t="shared" si="344"/>
        <v>0</v>
      </c>
      <c r="P426" s="636">
        <f t="shared" si="357"/>
        <v>0</v>
      </c>
      <c r="Q426" s="625">
        <f t="shared" si="345"/>
        <v>0</v>
      </c>
      <c r="R426" s="636">
        <f t="shared" si="355"/>
        <v>-20000000</v>
      </c>
      <c r="S426" s="2874"/>
      <c r="T426" s="537"/>
    </row>
    <row r="427" spans="1:20" s="547" customFormat="1" ht="12.75" customHeight="1" x14ac:dyDescent="0.2">
      <c r="A427" s="1009"/>
      <c r="B427" s="630" t="s">
        <v>15</v>
      </c>
      <c r="C427" s="2877"/>
      <c r="D427" s="646">
        <f>+D441</f>
        <v>70000000</v>
      </c>
      <c r="E427" s="651">
        <f t="shared" ref="E427:P427" si="358">+E441</f>
        <v>0</v>
      </c>
      <c r="F427" s="651">
        <f t="shared" si="358"/>
        <v>0</v>
      </c>
      <c r="G427" s="651">
        <f t="shared" si="358"/>
        <v>20000000</v>
      </c>
      <c r="H427" s="649">
        <f t="shared" si="358"/>
        <v>50000000</v>
      </c>
      <c r="I427" s="646">
        <f>+I441</f>
        <v>70000000</v>
      </c>
      <c r="J427" s="651">
        <f>+J441</f>
        <v>0</v>
      </c>
      <c r="K427" s="651">
        <f>+K441</f>
        <v>0</v>
      </c>
      <c r="L427" s="651">
        <f>+L441</f>
        <v>20000000</v>
      </c>
      <c r="M427" s="649">
        <f>+M441</f>
        <v>50000000</v>
      </c>
      <c r="N427" s="646">
        <f t="shared" si="358"/>
        <v>0</v>
      </c>
      <c r="O427" s="625">
        <f t="shared" si="344"/>
        <v>0</v>
      </c>
      <c r="P427" s="651">
        <f t="shared" si="358"/>
        <v>0</v>
      </c>
      <c r="Q427" s="625">
        <f t="shared" si="345"/>
        <v>0</v>
      </c>
      <c r="R427" s="651">
        <f t="shared" si="355"/>
        <v>-20000000</v>
      </c>
      <c r="S427" s="2874"/>
      <c r="T427" s="537"/>
    </row>
    <row r="428" spans="1:20" ht="12.75" customHeight="1" x14ac:dyDescent="0.2">
      <c r="A428" s="1009"/>
      <c r="B428" s="1010" t="s">
        <v>17</v>
      </c>
      <c r="C428" s="607"/>
      <c r="D428" s="608">
        <f t="shared" ref="D428:N428" si="359">+D429+D432</f>
        <v>124076036</v>
      </c>
      <c r="E428" s="609">
        <f t="shared" si="359"/>
        <v>14488536</v>
      </c>
      <c r="F428" s="609">
        <f t="shared" si="359"/>
        <v>6250000</v>
      </c>
      <c r="G428" s="609">
        <f t="shared" si="359"/>
        <v>26250000</v>
      </c>
      <c r="H428" s="611">
        <f t="shared" si="359"/>
        <v>77087500</v>
      </c>
      <c r="I428" s="608">
        <f>+I429+I432</f>
        <v>124076036</v>
      </c>
      <c r="J428" s="609">
        <f>+J429+J432</f>
        <v>14488536</v>
      </c>
      <c r="K428" s="609">
        <f>+K429+K432</f>
        <v>6250000</v>
      </c>
      <c r="L428" s="609">
        <f>+L429+L432</f>
        <v>26250000</v>
      </c>
      <c r="M428" s="611">
        <f>+M429+M432</f>
        <v>77087500</v>
      </c>
      <c r="N428" s="608">
        <f t="shared" si="359"/>
        <v>20738536</v>
      </c>
      <c r="O428" s="938">
        <f t="shared" si="344"/>
        <v>16.714376658519299</v>
      </c>
      <c r="P428" s="609">
        <f>+P429+P432</f>
        <v>0</v>
      </c>
      <c r="Q428" s="938">
        <f t="shared" si="345"/>
        <v>0</v>
      </c>
      <c r="R428" s="609">
        <f t="shared" si="355"/>
        <v>-26250000</v>
      </c>
      <c r="S428" s="2874"/>
      <c r="T428" s="537"/>
    </row>
    <row r="429" spans="1:20" ht="12.75" customHeight="1" x14ac:dyDescent="0.2">
      <c r="A429" s="1009"/>
      <c r="B429" s="652" t="s">
        <v>18</v>
      </c>
      <c r="C429" s="2878"/>
      <c r="D429" s="653">
        <f t="shared" ref="D429:N429" si="360">+D430+D431</f>
        <v>54076036</v>
      </c>
      <c r="E429" s="654">
        <f t="shared" si="360"/>
        <v>14488536</v>
      </c>
      <c r="F429" s="654">
        <f t="shared" si="360"/>
        <v>6250000</v>
      </c>
      <c r="G429" s="654">
        <f t="shared" si="360"/>
        <v>6250000</v>
      </c>
      <c r="H429" s="656">
        <f t="shared" si="360"/>
        <v>27087500</v>
      </c>
      <c r="I429" s="653">
        <f>+I430+I431</f>
        <v>54076036</v>
      </c>
      <c r="J429" s="654">
        <f>+J430+J431</f>
        <v>14488536</v>
      </c>
      <c r="K429" s="654">
        <f>+K430+K431</f>
        <v>6250000</v>
      </c>
      <c r="L429" s="654">
        <f>+L430+L431</f>
        <v>6250000</v>
      </c>
      <c r="M429" s="656">
        <f>+M430+M431</f>
        <v>27087500</v>
      </c>
      <c r="N429" s="653">
        <f t="shared" si="360"/>
        <v>20738536</v>
      </c>
      <c r="O429" s="1014">
        <f t="shared" si="344"/>
        <v>38.350695675992228</v>
      </c>
      <c r="P429" s="654">
        <f>+P430+P431</f>
        <v>0</v>
      </c>
      <c r="Q429" s="1014">
        <f t="shared" si="345"/>
        <v>0</v>
      </c>
      <c r="R429" s="654">
        <f t="shared" si="355"/>
        <v>-6250000</v>
      </c>
      <c r="S429" s="2874"/>
      <c r="T429" s="537"/>
    </row>
    <row r="430" spans="1:20" ht="12.75" customHeight="1" x14ac:dyDescent="0.2">
      <c r="A430" s="1015"/>
      <c r="B430" s="659" t="s">
        <v>106</v>
      </c>
      <c r="C430" s="2878"/>
      <c r="D430" s="646">
        <f>+D444</f>
        <v>14587500</v>
      </c>
      <c r="E430" s="651">
        <f t="shared" ref="E430:P431" si="361">+E444</f>
        <v>0</v>
      </c>
      <c r="F430" s="651">
        <f t="shared" si="361"/>
        <v>0</v>
      </c>
      <c r="G430" s="642">
        <f t="shared" si="361"/>
        <v>0</v>
      </c>
      <c r="H430" s="649">
        <f t="shared" si="361"/>
        <v>14587500</v>
      </c>
      <c r="I430" s="646">
        <f t="shared" si="361"/>
        <v>14587500</v>
      </c>
      <c r="J430" s="651">
        <f t="shared" si="361"/>
        <v>0</v>
      </c>
      <c r="K430" s="651">
        <f t="shared" si="361"/>
        <v>0</v>
      </c>
      <c r="L430" s="651">
        <f t="shared" si="361"/>
        <v>0</v>
      </c>
      <c r="M430" s="649">
        <f t="shared" si="361"/>
        <v>14587500</v>
      </c>
      <c r="N430" s="646">
        <f t="shared" si="361"/>
        <v>0</v>
      </c>
      <c r="O430" s="943">
        <f t="shared" si="344"/>
        <v>0</v>
      </c>
      <c r="P430" s="651">
        <f t="shared" si="361"/>
        <v>0</v>
      </c>
      <c r="Q430" s="943">
        <v>0</v>
      </c>
      <c r="R430" s="651">
        <f t="shared" si="355"/>
        <v>0</v>
      </c>
      <c r="S430" s="2874"/>
      <c r="T430" s="537"/>
    </row>
    <row r="431" spans="1:20" ht="12.75" customHeight="1" x14ac:dyDescent="0.2">
      <c r="A431" s="1009"/>
      <c r="B431" s="659" t="s">
        <v>105</v>
      </c>
      <c r="C431" s="2878"/>
      <c r="D431" s="646">
        <f>+D445</f>
        <v>39488536</v>
      </c>
      <c r="E431" s="651">
        <f t="shared" si="361"/>
        <v>14488536</v>
      </c>
      <c r="F431" s="651">
        <f t="shared" si="361"/>
        <v>6250000</v>
      </c>
      <c r="G431" s="651">
        <f t="shared" si="361"/>
        <v>6250000</v>
      </c>
      <c r="H431" s="649">
        <f t="shared" si="361"/>
        <v>12500000</v>
      </c>
      <c r="I431" s="646">
        <f t="shared" si="361"/>
        <v>39488536</v>
      </c>
      <c r="J431" s="651">
        <f t="shared" si="361"/>
        <v>14488536</v>
      </c>
      <c r="K431" s="651">
        <f t="shared" si="361"/>
        <v>6250000</v>
      </c>
      <c r="L431" s="651">
        <f t="shared" si="361"/>
        <v>6250000</v>
      </c>
      <c r="M431" s="649">
        <f t="shared" si="361"/>
        <v>12500000</v>
      </c>
      <c r="N431" s="646">
        <f t="shared" si="361"/>
        <v>20738536</v>
      </c>
      <c r="O431" s="943">
        <f t="shared" si="344"/>
        <v>52.517864931736135</v>
      </c>
      <c r="P431" s="651">
        <f t="shared" si="361"/>
        <v>0</v>
      </c>
      <c r="Q431" s="943">
        <f t="shared" si="345"/>
        <v>0</v>
      </c>
      <c r="R431" s="651">
        <f t="shared" si="355"/>
        <v>-6250000</v>
      </c>
      <c r="S431" s="2874"/>
      <c r="T431" s="537"/>
    </row>
    <row r="432" spans="1:20" s="1020" customFormat="1" ht="12.75" customHeight="1" x14ac:dyDescent="0.2">
      <c r="A432" s="1009"/>
      <c r="B432" s="1016" t="s">
        <v>13</v>
      </c>
      <c r="C432" s="2878"/>
      <c r="D432" s="1017">
        <f>+D433</f>
        <v>70000000</v>
      </c>
      <c r="E432" s="1018">
        <f t="shared" ref="E432:P432" si="362">+E433</f>
        <v>0</v>
      </c>
      <c r="F432" s="1018">
        <f t="shared" si="362"/>
        <v>0</v>
      </c>
      <c r="G432" s="1018">
        <f t="shared" si="362"/>
        <v>20000000</v>
      </c>
      <c r="H432" s="1019">
        <f t="shared" si="362"/>
        <v>50000000</v>
      </c>
      <c r="I432" s="1017">
        <f>+I433</f>
        <v>70000000</v>
      </c>
      <c r="J432" s="1018">
        <f t="shared" si="362"/>
        <v>0</v>
      </c>
      <c r="K432" s="1018">
        <f t="shared" si="362"/>
        <v>0</v>
      </c>
      <c r="L432" s="1018">
        <f t="shared" si="362"/>
        <v>20000000</v>
      </c>
      <c r="M432" s="1019">
        <f t="shared" si="362"/>
        <v>50000000</v>
      </c>
      <c r="N432" s="1017">
        <f t="shared" si="362"/>
        <v>0</v>
      </c>
      <c r="O432" s="943">
        <f t="shared" si="344"/>
        <v>0</v>
      </c>
      <c r="P432" s="1018">
        <f t="shared" si="362"/>
        <v>0</v>
      </c>
      <c r="Q432" s="943">
        <f t="shared" si="345"/>
        <v>0</v>
      </c>
      <c r="R432" s="1018">
        <f t="shared" si="355"/>
        <v>-20000000</v>
      </c>
      <c r="S432" s="2874"/>
      <c r="T432" s="537"/>
    </row>
    <row r="433" spans="1:20" ht="12.75" customHeight="1" thickBot="1" x14ac:dyDescent="0.25">
      <c r="A433" s="1021"/>
      <c r="B433" s="1022" t="s">
        <v>15</v>
      </c>
      <c r="C433" s="2879"/>
      <c r="D433" s="1023">
        <f>+D447</f>
        <v>70000000</v>
      </c>
      <c r="E433" s="1024">
        <f t="shared" ref="E433:P433" si="363">+E447</f>
        <v>0</v>
      </c>
      <c r="F433" s="1024">
        <f t="shared" si="363"/>
        <v>0</v>
      </c>
      <c r="G433" s="1024">
        <f t="shared" si="363"/>
        <v>20000000</v>
      </c>
      <c r="H433" s="1025">
        <f t="shared" si="363"/>
        <v>50000000</v>
      </c>
      <c r="I433" s="1023">
        <f>+I447</f>
        <v>70000000</v>
      </c>
      <c r="J433" s="1024">
        <f>+J447</f>
        <v>0</v>
      </c>
      <c r="K433" s="1024">
        <f>+K447</f>
        <v>0</v>
      </c>
      <c r="L433" s="1024">
        <f>+L447</f>
        <v>20000000</v>
      </c>
      <c r="M433" s="1025">
        <f>+M447</f>
        <v>50000000</v>
      </c>
      <c r="N433" s="1023">
        <f t="shared" si="363"/>
        <v>0</v>
      </c>
      <c r="O433" s="965">
        <f t="shared" si="344"/>
        <v>0</v>
      </c>
      <c r="P433" s="1024">
        <f t="shared" si="363"/>
        <v>0</v>
      </c>
      <c r="Q433" s="965">
        <f t="shared" si="345"/>
        <v>0</v>
      </c>
      <c r="R433" s="1024">
        <f t="shared" si="355"/>
        <v>-20000000</v>
      </c>
      <c r="S433" s="2875"/>
      <c r="T433" s="537"/>
    </row>
    <row r="434" spans="1:20" s="726" customFormat="1" ht="26.25" customHeight="1" x14ac:dyDescent="0.2">
      <c r="A434" s="2880" t="s">
        <v>107</v>
      </c>
      <c r="B434" s="1026" t="s">
        <v>108</v>
      </c>
      <c r="C434" s="676" t="s">
        <v>225</v>
      </c>
      <c r="D434" s="1027"/>
      <c r="E434" s="1028"/>
      <c r="F434" s="1029"/>
      <c r="G434" s="1030"/>
      <c r="H434" s="1031"/>
      <c r="I434" s="1032"/>
      <c r="J434" s="1033"/>
      <c r="K434" s="1033"/>
      <c r="L434" s="1034"/>
      <c r="M434" s="1035"/>
      <c r="N434" s="1036"/>
      <c r="O434" s="1033"/>
      <c r="P434" s="1033"/>
      <c r="Q434" s="1033"/>
      <c r="R434" s="1034"/>
      <c r="S434" s="2883" t="s">
        <v>109</v>
      </c>
      <c r="T434" s="537"/>
    </row>
    <row r="435" spans="1:20" s="1045" customFormat="1" ht="12.75" customHeight="1" x14ac:dyDescent="0.2">
      <c r="A435" s="2881"/>
      <c r="B435" s="1037" t="s">
        <v>3</v>
      </c>
      <c r="C435" s="1038"/>
      <c r="D435" s="1039">
        <f t="shared" ref="D435:H435" si="364">+D436+D440</f>
        <v>140000000</v>
      </c>
      <c r="E435" s="1040">
        <f t="shared" si="364"/>
        <v>0</v>
      </c>
      <c r="F435" s="1040">
        <f t="shared" si="364"/>
        <v>0</v>
      </c>
      <c r="G435" s="1040">
        <f t="shared" si="364"/>
        <v>40000000</v>
      </c>
      <c r="H435" s="1041">
        <f t="shared" si="364"/>
        <v>100000000</v>
      </c>
      <c r="I435" s="1039">
        <f t="shared" ref="I435:M435" si="365">+I436+I440</f>
        <v>140000000</v>
      </c>
      <c r="J435" s="1040">
        <f t="shared" si="365"/>
        <v>0</v>
      </c>
      <c r="K435" s="1040">
        <f t="shared" si="365"/>
        <v>0</v>
      </c>
      <c r="L435" s="1040">
        <f t="shared" si="365"/>
        <v>40000000</v>
      </c>
      <c r="M435" s="1041">
        <f t="shared" si="365"/>
        <v>100000000</v>
      </c>
      <c r="N435" s="1042">
        <f>+N436+N439</f>
        <v>0</v>
      </c>
      <c r="O435" s="1043">
        <f t="shared" si="344"/>
        <v>0</v>
      </c>
      <c r="P435" s="1044">
        <f>+P436+P440</f>
        <v>0</v>
      </c>
      <c r="Q435" s="1043">
        <f t="shared" si="345"/>
        <v>0</v>
      </c>
      <c r="R435" s="921">
        <f t="shared" si="355"/>
        <v>-40000000</v>
      </c>
      <c r="S435" s="2813"/>
      <c r="T435" s="537"/>
    </row>
    <row r="436" spans="1:20" s="1045" customFormat="1" ht="12.75" customHeight="1" x14ac:dyDescent="0.2">
      <c r="A436" s="2881"/>
      <c r="B436" s="1046" t="s">
        <v>18</v>
      </c>
      <c r="C436" s="2885" t="s">
        <v>110</v>
      </c>
      <c r="D436" s="1047">
        <f t="shared" ref="D436:H436" si="366">SUM(D437:D439)</f>
        <v>70000000</v>
      </c>
      <c r="E436" s="1048">
        <f t="shared" si="366"/>
        <v>0</v>
      </c>
      <c r="F436" s="1048">
        <f t="shared" si="366"/>
        <v>0</v>
      </c>
      <c r="G436" s="1049">
        <f t="shared" si="366"/>
        <v>20000000</v>
      </c>
      <c r="H436" s="1050">
        <f t="shared" si="366"/>
        <v>50000000</v>
      </c>
      <c r="I436" s="1047">
        <f t="shared" ref="I436:P436" si="367">SUM(I437:I439)</f>
        <v>70000000</v>
      </c>
      <c r="J436" s="1048">
        <f t="shared" si="367"/>
        <v>0</v>
      </c>
      <c r="K436" s="1048">
        <f t="shared" si="367"/>
        <v>0</v>
      </c>
      <c r="L436" s="1049">
        <f t="shared" si="367"/>
        <v>20000000</v>
      </c>
      <c r="M436" s="1050">
        <f t="shared" si="367"/>
        <v>50000000</v>
      </c>
      <c r="N436" s="1049">
        <f>SUM(N437:N439)</f>
        <v>0</v>
      </c>
      <c r="O436" s="1051">
        <f t="shared" si="344"/>
        <v>0</v>
      </c>
      <c r="P436" s="1049">
        <f t="shared" si="367"/>
        <v>0</v>
      </c>
      <c r="Q436" s="1051">
        <f t="shared" si="345"/>
        <v>0</v>
      </c>
      <c r="R436" s="857">
        <f t="shared" si="355"/>
        <v>-20000000</v>
      </c>
      <c r="S436" s="2813"/>
      <c r="T436" s="537"/>
    </row>
    <row r="437" spans="1:20" s="726" customFormat="1" ht="12.75" customHeight="1" x14ac:dyDescent="0.2">
      <c r="A437" s="2881"/>
      <c r="B437" s="1052" t="s">
        <v>5</v>
      </c>
      <c r="C437" s="2832"/>
      <c r="D437" s="697">
        <f>+E437+F437+G437+H437</f>
        <v>15923964</v>
      </c>
      <c r="E437" s="699"/>
      <c r="F437" s="1053"/>
      <c r="G437" s="698">
        <v>0</v>
      </c>
      <c r="H437" s="1054">
        <v>15923964</v>
      </c>
      <c r="I437" s="697">
        <f>+J437+K437+L437+M437</f>
        <v>15923964</v>
      </c>
      <c r="J437" s="699"/>
      <c r="K437" s="1053">
        <v>0</v>
      </c>
      <c r="L437" s="1055">
        <v>0</v>
      </c>
      <c r="M437" s="1054">
        <v>15923964</v>
      </c>
      <c r="N437" s="710">
        <f t="shared" ref="N437:N439" si="368">+P437+K437+J437</f>
        <v>0</v>
      </c>
      <c r="O437" s="1056">
        <f t="shared" si="344"/>
        <v>0</v>
      </c>
      <c r="P437" s="698">
        <v>0</v>
      </c>
      <c r="Q437" s="1056">
        <v>0</v>
      </c>
      <c r="R437" s="733">
        <f t="shared" si="355"/>
        <v>0</v>
      </c>
      <c r="S437" s="2813"/>
      <c r="T437" s="537"/>
    </row>
    <row r="438" spans="1:20" s="726" customFormat="1" ht="12.75" customHeight="1" x14ac:dyDescent="0.2">
      <c r="A438" s="2881"/>
      <c r="B438" s="1057" t="s">
        <v>36</v>
      </c>
      <c r="C438" s="2832"/>
      <c r="D438" s="697">
        <f>+E438+F438+G438+H438</f>
        <v>14587500</v>
      </c>
      <c r="E438" s="699"/>
      <c r="F438" s="1053"/>
      <c r="G438" s="698">
        <v>0</v>
      </c>
      <c r="H438" s="1054">
        <v>14587500</v>
      </c>
      <c r="I438" s="697">
        <f>+J438+K438+L438+M438</f>
        <v>14587500</v>
      </c>
      <c r="J438" s="699"/>
      <c r="K438" s="1053">
        <v>0</v>
      </c>
      <c r="L438" s="1055">
        <v>0</v>
      </c>
      <c r="M438" s="1054">
        <v>14587500</v>
      </c>
      <c r="N438" s="710">
        <f t="shared" si="368"/>
        <v>0</v>
      </c>
      <c r="O438" s="1056">
        <f t="shared" si="344"/>
        <v>0</v>
      </c>
      <c r="P438" s="698">
        <v>0</v>
      </c>
      <c r="Q438" s="1056">
        <v>0</v>
      </c>
      <c r="R438" s="733">
        <f t="shared" si="355"/>
        <v>0</v>
      </c>
      <c r="S438" s="2813"/>
      <c r="T438" s="537"/>
    </row>
    <row r="439" spans="1:20" s="726" customFormat="1" ht="12.75" customHeight="1" x14ac:dyDescent="0.2">
      <c r="A439" s="2881"/>
      <c r="B439" s="1058" t="s">
        <v>111</v>
      </c>
      <c r="C439" s="2832"/>
      <c r="D439" s="697">
        <f>+E439+F439+G439+H439</f>
        <v>39488536</v>
      </c>
      <c r="E439" s="1059"/>
      <c r="F439" s="1059"/>
      <c r="G439" s="1060">
        <v>20000000</v>
      </c>
      <c r="H439" s="1061">
        <f>39488536-20000000</f>
        <v>19488536</v>
      </c>
      <c r="I439" s="697">
        <f>+J439+K439+L439+M439</f>
        <v>39488536</v>
      </c>
      <c r="J439" s="1059"/>
      <c r="K439" s="1059">
        <v>0</v>
      </c>
      <c r="L439" s="1060">
        <v>20000000</v>
      </c>
      <c r="M439" s="1061">
        <f>39488536-20000000</f>
        <v>19488536</v>
      </c>
      <c r="N439" s="1062">
        <f t="shared" si="368"/>
        <v>0</v>
      </c>
      <c r="O439" s="1063">
        <f t="shared" si="344"/>
        <v>0</v>
      </c>
      <c r="P439" s="1064">
        <v>0</v>
      </c>
      <c r="Q439" s="1063">
        <f t="shared" si="345"/>
        <v>0</v>
      </c>
      <c r="R439" s="733">
        <f t="shared" si="355"/>
        <v>-20000000</v>
      </c>
      <c r="S439" s="2813"/>
      <c r="T439" s="537"/>
    </row>
    <row r="440" spans="1:20" s="1045" customFormat="1" ht="12.75" customHeight="1" x14ac:dyDescent="0.2">
      <c r="A440" s="2881"/>
      <c r="B440" s="1065" t="s">
        <v>13</v>
      </c>
      <c r="C440" s="2832"/>
      <c r="D440" s="1047">
        <f t="shared" ref="D440:N440" si="369">+D441</f>
        <v>70000000</v>
      </c>
      <c r="E440" s="1048">
        <f t="shared" si="369"/>
        <v>0</v>
      </c>
      <c r="F440" s="1048">
        <f t="shared" si="369"/>
        <v>0</v>
      </c>
      <c r="G440" s="1048">
        <f t="shared" si="369"/>
        <v>20000000</v>
      </c>
      <c r="H440" s="1066">
        <f t="shared" si="369"/>
        <v>50000000</v>
      </c>
      <c r="I440" s="1047">
        <f t="shared" si="369"/>
        <v>70000000</v>
      </c>
      <c r="J440" s="1048">
        <f t="shared" si="369"/>
        <v>0</v>
      </c>
      <c r="K440" s="1048">
        <f t="shared" si="369"/>
        <v>0</v>
      </c>
      <c r="L440" s="1048">
        <f t="shared" si="369"/>
        <v>20000000</v>
      </c>
      <c r="M440" s="1066">
        <f t="shared" si="369"/>
        <v>50000000</v>
      </c>
      <c r="N440" s="1048">
        <f t="shared" si="369"/>
        <v>0</v>
      </c>
      <c r="O440" s="1063">
        <f t="shared" si="344"/>
        <v>0</v>
      </c>
      <c r="P440" s="1067">
        <f>+P441</f>
        <v>0</v>
      </c>
      <c r="Q440" s="1063">
        <f t="shared" si="345"/>
        <v>0</v>
      </c>
      <c r="R440" s="857">
        <f t="shared" si="355"/>
        <v>-20000000</v>
      </c>
      <c r="S440" s="2813"/>
      <c r="T440" s="537"/>
    </row>
    <row r="441" spans="1:20" s="726" customFormat="1" ht="12.75" customHeight="1" x14ac:dyDescent="0.2">
      <c r="A441" s="2881"/>
      <c r="B441" s="1052" t="s">
        <v>15</v>
      </c>
      <c r="C441" s="2815"/>
      <c r="D441" s="697">
        <f>+E441+F441+G441+H441</f>
        <v>70000000</v>
      </c>
      <c r="E441" s="772"/>
      <c r="F441" s="1068"/>
      <c r="G441" s="1068">
        <v>20000000</v>
      </c>
      <c r="H441" s="1069">
        <v>50000000</v>
      </c>
      <c r="I441" s="697">
        <f>+J441+K441+L441+M441</f>
        <v>70000000</v>
      </c>
      <c r="J441" s="772"/>
      <c r="K441" s="1068">
        <v>0</v>
      </c>
      <c r="L441" s="1068">
        <v>20000000</v>
      </c>
      <c r="M441" s="1069">
        <v>50000000</v>
      </c>
      <c r="N441" s="1062">
        <f>+P441+K441+J441</f>
        <v>0</v>
      </c>
      <c r="O441" s="1063">
        <f t="shared" si="344"/>
        <v>0</v>
      </c>
      <c r="P441" s="1070">
        <v>0</v>
      </c>
      <c r="Q441" s="1063">
        <f t="shared" si="345"/>
        <v>0</v>
      </c>
      <c r="R441" s="733">
        <f t="shared" si="355"/>
        <v>-20000000</v>
      </c>
      <c r="S441" s="2813"/>
      <c r="T441" s="537"/>
    </row>
    <row r="442" spans="1:20" s="726" customFormat="1" ht="12.75" customHeight="1" x14ac:dyDescent="0.2">
      <c r="A442" s="2881"/>
      <c r="B442" s="1037" t="s">
        <v>17</v>
      </c>
      <c r="C442" s="566"/>
      <c r="D442" s="1039">
        <f>+D443+D446</f>
        <v>124076036</v>
      </c>
      <c r="E442" s="1040">
        <f>+E443</f>
        <v>14488536</v>
      </c>
      <c r="F442" s="1040">
        <f>+F443</f>
        <v>6250000</v>
      </c>
      <c r="G442" s="1040">
        <f>+G443+G446</f>
        <v>26250000</v>
      </c>
      <c r="H442" s="1071">
        <f>+H443+H446</f>
        <v>77087500</v>
      </c>
      <c r="I442" s="1039">
        <f>+I443+I446</f>
        <v>124076036</v>
      </c>
      <c r="J442" s="1040">
        <f>+J443</f>
        <v>14488536</v>
      </c>
      <c r="K442" s="1040">
        <f>+K443</f>
        <v>6250000</v>
      </c>
      <c r="L442" s="1040">
        <f>+L443</f>
        <v>6250000</v>
      </c>
      <c r="M442" s="1071">
        <f>+M443+M446</f>
        <v>77087500</v>
      </c>
      <c r="N442" s="1042">
        <f>+N443+N446</f>
        <v>20738536</v>
      </c>
      <c r="O442" s="1043">
        <f t="shared" si="344"/>
        <v>16.714376658519299</v>
      </c>
      <c r="P442" s="1044">
        <f>+P443+P446</f>
        <v>0</v>
      </c>
      <c r="Q442" s="1043">
        <f t="shared" si="345"/>
        <v>0</v>
      </c>
      <c r="R442" s="1072">
        <f t="shared" si="355"/>
        <v>-6250000</v>
      </c>
      <c r="S442" s="2813"/>
      <c r="T442" s="537"/>
    </row>
    <row r="443" spans="1:20" s="1045" customFormat="1" ht="12.75" customHeight="1" x14ac:dyDescent="0.2">
      <c r="A443" s="2881"/>
      <c r="B443" s="1046" t="s">
        <v>18</v>
      </c>
      <c r="C443" s="2886" t="s">
        <v>112</v>
      </c>
      <c r="D443" s="1047">
        <f t="shared" ref="D443:F443" si="370">+D444+D445</f>
        <v>54076036</v>
      </c>
      <c r="E443" s="1048">
        <f t="shared" si="370"/>
        <v>14488536</v>
      </c>
      <c r="F443" s="1048">
        <f t="shared" si="370"/>
        <v>6250000</v>
      </c>
      <c r="G443" s="1048">
        <f>+G444+G445</f>
        <v>6250000</v>
      </c>
      <c r="H443" s="1048">
        <f t="shared" ref="H443" si="371">+H444+H445</f>
        <v>27087500</v>
      </c>
      <c r="I443" s="1047">
        <f t="shared" ref="I443:N443" si="372">+I444+I445</f>
        <v>54076036</v>
      </c>
      <c r="J443" s="1048">
        <f t="shared" si="372"/>
        <v>14488536</v>
      </c>
      <c r="K443" s="1048">
        <f t="shared" si="372"/>
        <v>6250000</v>
      </c>
      <c r="L443" s="1048">
        <f>+L444+L445</f>
        <v>6250000</v>
      </c>
      <c r="M443" s="1073">
        <f t="shared" si="372"/>
        <v>27087500</v>
      </c>
      <c r="N443" s="1074">
        <f t="shared" si="372"/>
        <v>20738536</v>
      </c>
      <c r="O443" s="1051">
        <f t="shared" si="344"/>
        <v>38.350695675992228</v>
      </c>
      <c r="P443" s="1067">
        <f>+P444+P445</f>
        <v>0</v>
      </c>
      <c r="Q443" s="1051">
        <f t="shared" si="345"/>
        <v>0</v>
      </c>
      <c r="R443" s="1075">
        <f t="shared" si="355"/>
        <v>-6250000</v>
      </c>
      <c r="S443" s="2813"/>
      <c r="T443" s="537"/>
    </row>
    <row r="444" spans="1:20" s="726" customFormat="1" ht="12.75" customHeight="1" x14ac:dyDescent="0.2">
      <c r="A444" s="2881"/>
      <c r="B444" s="1057" t="s">
        <v>106</v>
      </c>
      <c r="C444" s="2887"/>
      <c r="D444" s="697">
        <f>+E444+F444+G444+H444</f>
        <v>14587500</v>
      </c>
      <c r="E444" s="772"/>
      <c r="F444" s="1068"/>
      <c r="G444" s="698">
        <v>0</v>
      </c>
      <c r="H444" s="1076">
        <v>14587500</v>
      </c>
      <c r="I444" s="697">
        <f>+J444+K444+L444+M444</f>
        <v>14587500</v>
      </c>
      <c r="J444" s="772"/>
      <c r="K444" s="1068">
        <v>0</v>
      </c>
      <c r="L444" s="698">
        <v>0</v>
      </c>
      <c r="M444" s="1076">
        <v>14587500</v>
      </c>
      <c r="N444" s="1062">
        <f>+P444+K444+J444</f>
        <v>0</v>
      </c>
      <c r="O444" s="1063">
        <f t="shared" si="344"/>
        <v>0</v>
      </c>
      <c r="P444" s="1070">
        <v>0</v>
      </c>
      <c r="Q444" s="1063">
        <v>0</v>
      </c>
      <c r="R444" s="1068">
        <f t="shared" si="355"/>
        <v>0</v>
      </c>
      <c r="S444" s="2813"/>
      <c r="T444" s="537"/>
    </row>
    <row r="445" spans="1:20" s="726" customFormat="1" ht="12.75" customHeight="1" x14ac:dyDescent="0.2">
      <c r="A445" s="2881"/>
      <c r="B445" s="1058" t="s">
        <v>111</v>
      </c>
      <c r="C445" s="2887"/>
      <c r="D445" s="697">
        <f>+E445+F445+G445+H445</f>
        <v>39488536</v>
      </c>
      <c r="E445" s="1068">
        <f>8238536+6250000</f>
        <v>14488536</v>
      </c>
      <c r="F445" s="1068">
        <v>6250000</v>
      </c>
      <c r="G445" s="1068">
        <v>6250000</v>
      </c>
      <c r="H445" s="1076">
        <f>18750000-6250000</f>
        <v>12500000</v>
      </c>
      <c r="I445" s="697">
        <f>+J445+K445+L445+M445</f>
        <v>39488536</v>
      </c>
      <c r="J445" s="1068">
        <f>8238536+6250000</f>
        <v>14488536</v>
      </c>
      <c r="K445" s="1068">
        <v>6250000</v>
      </c>
      <c r="L445" s="1068">
        <v>6250000</v>
      </c>
      <c r="M445" s="1076">
        <f>18750000-6250000</f>
        <v>12500000</v>
      </c>
      <c r="N445" s="1062">
        <f>+P445+K445+J445</f>
        <v>20738536</v>
      </c>
      <c r="O445" s="1051">
        <f t="shared" si="344"/>
        <v>52.517864931736135</v>
      </c>
      <c r="P445" s="1070">
        <v>0</v>
      </c>
      <c r="Q445" s="1051">
        <f t="shared" si="345"/>
        <v>0</v>
      </c>
      <c r="R445" s="1068">
        <f>+P445-L445</f>
        <v>-6250000</v>
      </c>
      <c r="S445" s="2813"/>
      <c r="T445" s="537"/>
    </row>
    <row r="446" spans="1:20" s="1045" customFormat="1" ht="12.75" customHeight="1" x14ac:dyDescent="0.2">
      <c r="A446" s="2881"/>
      <c r="B446" s="1065" t="s">
        <v>13</v>
      </c>
      <c r="C446" s="2887"/>
      <c r="D446" s="1047">
        <f>+D447</f>
        <v>70000000</v>
      </c>
      <c r="E446" s="1077"/>
      <c r="F446" s="1075"/>
      <c r="G446" s="1048">
        <f t="shared" ref="G446:H446" si="373">+G447</f>
        <v>20000000</v>
      </c>
      <c r="H446" s="1066">
        <f t="shared" si="373"/>
        <v>50000000</v>
      </c>
      <c r="I446" s="1047">
        <f>+I447</f>
        <v>70000000</v>
      </c>
      <c r="J446" s="1077"/>
      <c r="K446" s="1075">
        <v>0</v>
      </c>
      <c r="L446" s="1048">
        <f t="shared" ref="L446:M446" si="374">+L447</f>
        <v>20000000</v>
      </c>
      <c r="M446" s="1066">
        <f t="shared" si="374"/>
        <v>50000000</v>
      </c>
      <c r="N446" s="1074">
        <f>+N447</f>
        <v>0</v>
      </c>
      <c r="O446" s="1051">
        <f t="shared" si="344"/>
        <v>0</v>
      </c>
      <c r="P446" s="1067">
        <v>0</v>
      </c>
      <c r="Q446" s="1051">
        <f t="shared" si="345"/>
        <v>0</v>
      </c>
      <c r="R446" s="1075">
        <f t="shared" si="355"/>
        <v>-20000000</v>
      </c>
      <c r="S446" s="2813"/>
      <c r="T446" s="537"/>
    </row>
    <row r="447" spans="1:20" s="726" customFormat="1" ht="12.75" customHeight="1" thickBot="1" x14ac:dyDescent="0.25">
      <c r="A447" s="2882"/>
      <c r="B447" s="1078" t="s">
        <v>15</v>
      </c>
      <c r="C447" s="2888"/>
      <c r="D447" s="718">
        <f>+E447+F447+G447+H447</f>
        <v>70000000</v>
      </c>
      <c r="E447" s="782"/>
      <c r="F447" s="1079"/>
      <c r="G447" s="1068">
        <v>20000000</v>
      </c>
      <c r="H447" s="1069">
        <v>50000000</v>
      </c>
      <c r="I447" s="718">
        <f>+J447+K447+L447+M447</f>
        <v>70000000</v>
      </c>
      <c r="J447" s="782"/>
      <c r="K447" s="1079">
        <v>0</v>
      </c>
      <c r="L447" s="1068">
        <v>20000000</v>
      </c>
      <c r="M447" s="1069">
        <v>50000000</v>
      </c>
      <c r="N447" s="1080">
        <f>+P447+K447+J447</f>
        <v>0</v>
      </c>
      <c r="O447" s="1081">
        <f t="shared" si="344"/>
        <v>0</v>
      </c>
      <c r="P447" s="1082">
        <v>0</v>
      </c>
      <c r="Q447" s="1081">
        <f t="shared" si="345"/>
        <v>0</v>
      </c>
      <c r="R447" s="1079">
        <f t="shared" si="355"/>
        <v>-20000000</v>
      </c>
      <c r="S447" s="2884"/>
      <c r="T447" s="537"/>
    </row>
    <row r="448" spans="1:20" s="726" customFormat="1" ht="25.5" customHeight="1" x14ac:dyDescent="0.2">
      <c r="A448" s="2801" t="s">
        <v>113</v>
      </c>
      <c r="B448" s="1083" t="s">
        <v>311</v>
      </c>
      <c r="C448" s="1084"/>
      <c r="D448" s="1085"/>
      <c r="E448" s="1086"/>
      <c r="F448" s="1086"/>
      <c r="G448" s="1087"/>
      <c r="H448" s="1088"/>
      <c r="I448" s="1085"/>
      <c r="J448" s="1087"/>
      <c r="K448" s="1087"/>
      <c r="L448" s="1087"/>
      <c r="M448" s="1088"/>
      <c r="N448" s="1085"/>
      <c r="O448" s="1089"/>
      <c r="P448" s="1087"/>
      <c r="Q448" s="1089"/>
      <c r="R448" s="1090"/>
      <c r="S448" s="2804"/>
      <c r="T448" s="537"/>
    </row>
    <row r="449" spans="1:20" s="726" customFormat="1" ht="12.75" customHeight="1" x14ac:dyDescent="0.2">
      <c r="A449" s="2890"/>
      <c r="B449" s="1091" t="s">
        <v>3</v>
      </c>
      <c r="C449" s="1092"/>
      <c r="D449" s="1093">
        <f t="shared" ref="D449:M449" si="375">+D450+D452</f>
        <v>1260895</v>
      </c>
      <c r="E449" s="1094">
        <f t="shared" si="375"/>
        <v>1193810</v>
      </c>
      <c r="F449" s="1094">
        <f t="shared" si="375"/>
        <v>67085</v>
      </c>
      <c r="G449" s="1095">
        <f t="shared" si="375"/>
        <v>0</v>
      </c>
      <c r="H449" s="1096">
        <f t="shared" si="375"/>
        <v>0</v>
      </c>
      <c r="I449" s="1093">
        <f t="shared" si="375"/>
        <v>1260729</v>
      </c>
      <c r="J449" s="1094">
        <f t="shared" si="375"/>
        <v>1193650</v>
      </c>
      <c r="K449" s="1094">
        <f t="shared" si="375"/>
        <v>67079</v>
      </c>
      <c r="L449" s="1094">
        <f t="shared" si="375"/>
        <v>0</v>
      </c>
      <c r="M449" s="1097">
        <f t="shared" si="375"/>
        <v>0</v>
      </c>
      <c r="N449" s="1093">
        <f>+N450+N452</f>
        <v>1260729</v>
      </c>
      <c r="O449" s="1098">
        <f t="shared" si="344"/>
        <v>99.986834748333521</v>
      </c>
      <c r="P449" s="1095">
        <f>+P450+P452</f>
        <v>0</v>
      </c>
      <c r="Q449" s="1095">
        <v>0</v>
      </c>
      <c r="R449" s="1094">
        <f>+P449-L449</f>
        <v>0</v>
      </c>
      <c r="S449" s="2892"/>
      <c r="T449" s="537"/>
    </row>
    <row r="450" spans="1:20" s="726" customFormat="1" ht="12.75" customHeight="1" x14ac:dyDescent="0.2">
      <c r="A450" s="2843"/>
      <c r="B450" s="614" t="s">
        <v>18</v>
      </c>
      <c r="C450" s="2893"/>
      <c r="D450" s="620">
        <f t="shared" ref="D450:N450" si="376">+D451</f>
        <v>189137</v>
      </c>
      <c r="E450" s="616">
        <f t="shared" si="376"/>
        <v>179072</v>
      </c>
      <c r="F450" s="616">
        <f t="shared" si="376"/>
        <v>10065</v>
      </c>
      <c r="G450" s="1099">
        <f t="shared" si="376"/>
        <v>0</v>
      </c>
      <c r="H450" s="940">
        <f t="shared" si="376"/>
        <v>0</v>
      </c>
      <c r="I450" s="620">
        <f t="shared" si="376"/>
        <v>189110</v>
      </c>
      <c r="J450" s="616">
        <f t="shared" si="376"/>
        <v>179048</v>
      </c>
      <c r="K450" s="616">
        <f t="shared" si="376"/>
        <v>10062</v>
      </c>
      <c r="L450" s="616">
        <f t="shared" si="376"/>
        <v>0</v>
      </c>
      <c r="M450" s="618">
        <f t="shared" si="376"/>
        <v>0</v>
      </c>
      <c r="N450" s="620">
        <f t="shared" si="376"/>
        <v>189110</v>
      </c>
      <c r="O450" s="941">
        <f t="shared" si="344"/>
        <v>99.985724633466745</v>
      </c>
      <c r="P450" s="1099">
        <f>+P451</f>
        <v>0</v>
      </c>
      <c r="Q450" s="1099">
        <v>0</v>
      </c>
      <c r="R450" s="616">
        <f t="shared" ref="R450:R464" si="377">+P450-L450</f>
        <v>0</v>
      </c>
      <c r="S450" s="2805"/>
      <c r="T450" s="537"/>
    </row>
    <row r="451" spans="1:20" s="726" customFormat="1" ht="12.75" customHeight="1" x14ac:dyDescent="0.2">
      <c r="A451" s="2843"/>
      <c r="B451" s="622" t="s">
        <v>5</v>
      </c>
      <c r="C451" s="2894"/>
      <c r="D451" s="624">
        <f>SUM(D460,D573,D587,D601,D615,D629,D643,D657,D671,D685,D699)</f>
        <v>189137</v>
      </c>
      <c r="E451" s="625">
        <f>SUM(E460,E573,E587,E601,E615,E629,E643,E657,E671,E685,E699)</f>
        <v>179072</v>
      </c>
      <c r="F451" s="625">
        <f>SUM(F460,F573,F587,F601,F615,F629,F643,F657,F671,F685,F699)</f>
        <v>10065</v>
      </c>
      <c r="G451" s="633">
        <f t="shared" ref="G451:M451" si="378">+G460</f>
        <v>0</v>
      </c>
      <c r="H451" s="632">
        <f t="shared" si="378"/>
        <v>0</v>
      </c>
      <c r="I451" s="624">
        <f t="shared" si="378"/>
        <v>189110</v>
      </c>
      <c r="J451" s="625">
        <f t="shared" si="378"/>
        <v>179048</v>
      </c>
      <c r="K451" s="625">
        <f t="shared" si="378"/>
        <v>10062</v>
      </c>
      <c r="L451" s="625">
        <f t="shared" si="378"/>
        <v>0</v>
      </c>
      <c r="M451" s="627">
        <f t="shared" si="378"/>
        <v>0</v>
      </c>
      <c r="N451" s="624">
        <f>+N460</f>
        <v>189110</v>
      </c>
      <c r="O451" s="943">
        <f t="shared" si="344"/>
        <v>99.985724633466745</v>
      </c>
      <c r="P451" s="633">
        <f>+P460</f>
        <v>0</v>
      </c>
      <c r="Q451" s="633">
        <v>0</v>
      </c>
      <c r="R451" s="625">
        <f t="shared" si="377"/>
        <v>0</v>
      </c>
      <c r="S451" s="2805"/>
      <c r="T451" s="537"/>
    </row>
    <row r="452" spans="1:20" s="726" customFormat="1" ht="12.75" customHeight="1" x14ac:dyDescent="0.2">
      <c r="A452" s="2843"/>
      <c r="B452" s="634" t="s">
        <v>13</v>
      </c>
      <c r="C452" s="2894"/>
      <c r="D452" s="635">
        <f t="shared" ref="D452:N452" si="379">+D453</f>
        <v>1071758</v>
      </c>
      <c r="E452" s="636">
        <f t="shared" si="379"/>
        <v>1014738</v>
      </c>
      <c r="F452" s="636">
        <f t="shared" si="379"/>
        <v>57020</v>
      </c>
      <c r="G452" s="950">
        <f t="shared" si="379"/>
        <v>0</v>
      </c>
      <c r="H452" s="1100">
        <f t="shared" si="379"/>
        <v>0</v>
      </c>
      <c r="I452" s="635">
        <f t="shared" si="379"/>
        <v>1071619</v>
      </c>
      <c r="J452" s="636">
        <f t="shared" si="379"/>
        <v>1014602</v>
      </c>
      <c r="K452" s="636">
        <f t="shared" si="379"/>
        <v>57017</v>
      </c>
      <c r="L452" s="636">
        <f t="shared" si="379"/>
        <v>0</v>
      </c>
      <c r="M452" s="638">
        <f t="shared" si="379"/>
        <v>0</v>
      </c>
      <c r="N452" s="635">
        <f t="shared" si="379"/>
        <v>1071619</v>
      </c>
      <c r="O452" s="949">
        <f t="shared" si="344"/>
        <v>99.987030654308157</v>
      </c>
      <c r="P452" s="950">
        <f>+P453</f>
        <v>0</v>
      </c>
      <c r="Q452" s="950">
        <v>0</v>
      </c>
      <c r="R452" s="636">
        <f t="shared" si="377"/>
        <v>0</v>
      </c>
      <c r="S452" s="2805"/>
      <c r="T452" s="537"/>
    </row>
    <row r="453" spans="1:20" s="726" customFormat="1" ht="12.75" customHeight="1" x14ac:dyDescent="0.2">
      <c r="A453" s="2843"/>
      <c r="B453" s="1101" t="s">
        <v>14</v>
      </c>
      <c r="C453" s="2894"/>
      <c r="D453" s="646">
        <f>+D462+D580+D594+D622+D636+D650+D678+D692+D706+D608+D664</f>
        <v>1071758</v>
      </c>
      <c r="E453" s="625">
        <f t="shared" ref="E453:M453" si="380">+E462</f>
        <v>1014738</v>
      </c>
      <c r="F453" s="625">
        <f t="shared" si="380"/>
        <v>57020</v>
      </c>
      <c r="G453" s="633">
        <f t="shared" si="380"/>
        <v>0</v>
      </c>
      <c r="H453" s="632">
        <f t="shared" si="380"/>
        <v>0</v>
      </c>
      <c r="I453" s="624">
        <f t="shared" si="380"/>
        <v>1071619</v>
      </c>
      <c r="J453" s="625">
        <f t="shared" si="380"/>
        <v>1014602</v>
      </c>
      <c r="K453" s="625">
        <f t="shared" si="380"/>
        <v>57017</v>
      </c>
      <c r="L453" s="625">
        <f t="shared" si="380"/>
        <v>0</v>
      </c>
      <c r="M453" s="627">
        <f t="shared" si="380"/>
        <v>0</v>
      </c>
      <c r="N453" s="624">
        <f>+N462</f>
        <v>1071619</v>
      </c>
      <c r="O453" s="943">
        <f t="shared" si="344"/>
        <v>99.987030654308157</v>
      </c>
      <c r="P453" s="633">
        <f>+P462</f>
        <v>0</v>
      </c>
      <c r="Q453" s="633">
        <v>0</v>
      </c>
      <c r="R453" s="625">
        <f t="shared" si="377"/>
        <v>0</v>
      </c>
      <c r="S453" s="2805"/>
      <c r="T453" s="537"/>
    </row>
    <row r="454" spans="1:20" s="726" customFormat="1" ht="12.75" customHeight="1" x14ac:dyDescent="0.2">
      <c r="A454" s="2843"/>
      <c r="B454" s="606" t="s">
        <v>17</v>
      </c>
      <c r="C454" s="607"/>
      <c r="D454" s="608">
        <f>+D455</f>
        <v>1240064</v>
      </c>
      <c r="E454" s="609">
        <f t="shared" ref="E454:N455" si="381">+E455</f>
        <v>279365</v>
      </c>
      <c r="F454" s="609">
        <f t="shared" si="381"/>
        <v>555923</v>
      </c>
      <c r="G454" s="609">
        <f t="shared" si="381"/>
        <v>404776</v>
      </c>
      <c r="H454" s="937">
        <f t="shared" si="381"/>
        <v>0</v>
      </c>
      <c r="I454" s="608">
        <f t="shared" si="381"/>
        <v>1071619</v>
      </c>
      <c r="J454" s="609">
        <f t="shared" si="381"/>
        <v>261518</v>
      </c>
      <c r="K454" s="609">
        <f t="shared" si="381"/>
        <v>539643</v>
      </c>
      <c r="L454" s="609">
        <f t="shared" si="381"/>
        <v>270458</v>
      </c>
      <c r="M454" s="611">
        <f t="shared" si="381"/>
        <v>0</v>
      </c>
      <c r="N454" s="608">
        <f t="shared" si="381"/>
        <v>876437</v>
      </c>
      <c r="O454" s="938">
        <f t="shared" si="344"/>
        <v>70.676755393270028</v>
      </c>
      <c r="P454" s="609">
        <f>+P455</f>
        <v>75276</v>
      </c>
      <c r="Q454" s="938">
        <f>P454/G454*100</f>
        <v>18.59695238848153</v>
      </c>
      <c r="R454" s="609">
        <f t="shared" si="377"/>
        <v>-195182</v>
      </c>
      <c r="S454" s="2805"/>
      <c r="T454" s="537"/>
    </row>
    <row r="455" spans="1:20" s="726" customFormat="1" ht="12.75" customHeight="1" x14ac:dyDescent="0.2">
      <c r="A455" s="2843"/>
      <c r="B455" s="955" t="s">
        <v>13</v>
      </c>
      <c r="C455" s="2850"/>
      <c r="D455" s="653">
        <f>+D456</f>
        <v>1240064</v>
      </c>
      <c r="E455" s="654">
        <f t="shared" si="381"/>
        <v>279365</v>
      </c>
      <c r="F455" s="654">
        <f t="shared" si="381"/>
        <v>555923</v>
      </c>
      <c r="G455" s="654">
        <f t="shared" si="381"/>
        <v>404776</v>
      </c>
      <c r="H455" s="1102">
        <f t="shared" si="381"/>
        <v>0</v>
      </c>
      <c r="I455" s="653">
        <f t="shared" si="381"/>
        <v>1071619</v>
      </c>
      <c r="J455" s="654">
        <f t="shared" si="381"/>
        <v>261518</v>
      </c>
      <c r="K455" s="654">
        <f t="shared" si="381"/>
        <v>539643</v>
      </c>
      <c r="L455" s="654">
        <f t="shared" si="381"/>
        <v>270458</v>
      </c>
      <c r="M455" s="656">
        <f t="shared" si="381"/>
        <v>0</v>
      </c>
      <c r="N455" s="653">
        <f t="shared" si="381"/>
        <v>876437</v>
      </c>
      <c r="O455" s="1103">
        <f t="shared" si="344"/>
        <v>70.676755393270028</v>
      </c>
      <c r="P455" s="654">
        <f>+P456</f>
        <v>75276</v>
      </c>
      <c r="Q455" s="1103">
        <f t="shared" si="345"/>
        <v>18.59695238848153</v>
      </c>
      <c r="R455" s="654">
        <f>+P455-L455</f>
        <v>-195182</v>
      </c>
      <c r="S455" s="2805"/>
      <c r="T455" s="537"/>
    </row>
    <row r="456" spans="1:20" s="726" customFormat="1" ht="12.75" customHeight="1" thickBot="1" x14ac:dyDescent="0.25">
      <c r="A456" s="2891"/>
      <c r="B456" s="960" t="s">
        <v>14</v>
      </c>
      <c r="C456" s="2895"/>
      <c r="D456" s="668">
        <f t="shared" ref="D456:N456" si="382">+D465+D583+D597+D625+D639+D653+D681+D695+D709+D611+D667</f>
        <v>1240064</v>
      </c>
      <c r="E456" s="672">
        <f t="shared" si="382"/>
        <v>279365</v>
      </c>
      <c r="F456" s="672">
        <f t="shared" si="382"/>
        <v>555923</v>
      </c>
      <c r="G456" s="672">
        <f t="shared" si="382"/>
        <v>404776</v>
      </c>
      <c r="H456" s="1104">
        <f t="shared" si="382"/>
        <v>0</v>
      </c>
      <c r="I456" s="668">
        <f t="shared" si="382"/>
        <v>1071619</v>
      </c>
      <c r="J456" s="672">
        <f t="shared" si="382"/>
        <v>261518</v>
      </c>
      <c r="K456" s="672">
        <f t="shared" si="382"/>
        <v>539643</v>
      </c>
      <c r="L456" s="672">
        <f t="shared" si="382"/>
        <v>270458</v>
      </c>
      <c r="M456" s="671">
        <f t="shared" si="382"/>
        <v>0</v>
      </c>
      <c r="N456" s="668">
        <f t="shared" si="382"/>
        <v>876437</v>
      </c>
      <c r="O456" s="1105">
        <f t="shared" si="344"/>
        <v>70.676755393270028</v>
      </c>
      <c r="P456" s="672">
        <f>+P465+P583+P597+P625+P639+P653+P681+P695+P709+P611+P667</f>
        <v>75276</v>
      </c>
      <c r="Q456" s="1105">
        <f t="shared" si="345"/>
        <v>18.59695238848153</v>
      </c>
      <c r="R456" s="672">
        <f t="shared" si="377"/>
        <v>-195182</v>
      </c>
      <c r="S456" s="2806"/>
      <c r="T456" s="537"/>
    </row>
    <row r="457" spans="1:20" s="726" customFormat="1" ht="42.75" customHeight="1" x14ac:dyDescent="0.2">
      <c r="A457" s="2889" t="s">
        <v>114</v>
      </c>
      <c r="B457" s="675" t="s">
        <v>124</v>
      </c>
      <c r="C457" s="676" t="s">
        <v>233</v>
      </c>
      <c r="D457" s="677"/>
      <c r="E457" s="678"/>
      <c r="F457" s="678"/>
      <c r="G457" s="678"/>
      <c r="H457" s="679"/>
      <c r="I457" s="680"/>
      <c r="J457" s="678"/>
      <c r="K457" s="678"/>
      <c r="L457" s="678"/>
      <c r="M457" s="679"/>
      <c r="N457" s="680"/>
      <c r="O457" s="681"/>
      <c r="P457" s="678"/>
      <c r="Q457" s="681"/>
      <c r="R457" s="678"/>
      <c r="S457" s="2823" t="s">
        <v>121</v>
      </c>
      <c r="T457" s="537"/>
    </row>
    <row r="458" spans="1:20" s="726" customFormat="1" ht="12.75" customHeight="1" x14ac:dyDescent="0.2">
      <c r="A458" s="2810"/>
      <c r="B458" s="565" t="s">
        <v>3</v>
      </c>
      <c r="C458" s="566"/>
      <c r="D458" s="826">
        <f t="shared" ref="D458:H458" si="383">D459+D461</f>
        <v>1260895</v>
      </c>
      <c r="E458" s="828">
        <f t="shared" si="383"/>
        <v>1193810</v>
      </c>
      <c r="F458" s="828">
        <f t="shared" si="383"/>
        <v>67085</v>
      </c>
      <c r="G458" s="827">
        <f t="shared" si="383"/>
        <v>0</v>
      </c>
      <c r="H458" s="827">
        <f t="shared" si="383"/>
        <v>0</v>
      </c>
      <c r="I458" s="826">
        <f t="shared" ref="I458:N458" si="384">I459+I461</f>
        <v>1260729</v>
      </c>
      <c r="J458" s="828">
        <f t="shared" si="384"/>
        <v>1193650</v>
      </c>
      <c r="K458" s="828">
        <f t="shared" si="384"/>
        <v>67079</v>
      </c>
      <c r="L458" s="827">
        <f t="shared" si="384"/>
        <v>0</v>
      </c>
      <c r="M458" s="843">
        <f t="shared" si="384"/>
        <v>0</v>
      </c>
      <c r="N458" s="826">
        <f t="shared" si="384"/>
        <v>1260729</v>
      </c>
      <c r="O458" s="830">
        <f t="shared" si="344"/>
        <v>99.986834748333521</v>
      </c>
      <c r="P458" s="827">
        <f>+P459+P461</f>
        <v>0</v>
      </c>
      <c r="Q458" s="827">
        <v>0</v>
      </c>
      <c r="R458" s="828">
        <f t="shared" si="377"/>
        <v>0</v>
      </c>
      <c r="S458" s="2824"/>
      <c r="T458" s="537"/>
    </row>
    <row r="459" spans="1:20" s="726" customFormat="1" ht="12.75" customHeight="1" x14ac:dyDescent="0.2">
      <c r="A459" s="2810"/>
      <c r="B459" s="819" t="s">
        <v>18</v>
      </c>
      <c r="C459" s="2771" t="s">
        <v>119</v>
      </c>
      <c r="D459" s="774">
        <f>E459+F459+G459+H459</f>
        <v>189137</v>
      </c>
      <c r="E459" s="776">
        <f t="shared" ref="E459:F461" si="385">E460</f>
        <v>179072</v>
      </c>
      <c r="F459" s="776">
        <f t="shared" si="385"/>
        <v>10065</v>
      </c>
      <c r="G459" s="777">
        <f>G460</f>
        <v>0</v>
      </c>
      <c r="H459" s="777">
        <f>H460</f>
        <v>0</v>
      </c>
      <c r="I459" s="774">
        <f>J459+K459+L459+M459</f>
        <v>189110</v>
      </c>
      <c r="J459" s="776">
        <f t="shared" ref="J459:K461" si="386">J460</f>
        <v>179048</v>
      </c>
      <c r="K459" s="776">
        <f t="shared" si="386"/>
        <v>10062</v>
      </c>
      <c r="L459" s="777">
        <f>L460</f>
        <v>0</v>
      </c>
      <c r="M459" s="778">
        <f>M460</f>
        <v>0</v>
      </c>
      <c r="N459" s="1106">
        <f>N460</f>
        <v>189110</v>
      </c>
      <c r="O459" s="1107">
        <f t="shared" si="344"/>
        <v>99.985724633466745</v>
      </c>
      <c r="P459" s="1108">
        <f>+P460</f>
        <v>0</v>
      </c>
      <c r="Q459" s="777">
        <v>0</v>
      </c>
      <c r="R459" s="776">
        <f t="shared" si="377"/>
        <v>0</v>
      </c>
      <c r="S459" s="2824"/>
      <c r="T459" s="537"/>
    </row>
    <row r="460" spans="1:20" s="726" customFormat="1" ht="12.75" customHeight="1" x14ac:dyDescent="0.2">
      <c r="A460" s="2810"/>
      <c r="B460" s="696" t="s">
        <v>5</v>
      </c>
      <c r="C460" s="2816"/>
      <c r="D460" s="697">
        <f>E460+F460+G460+H460</f>
        <v>189137</v>
      </c>
      <c r="E460" s="699">
        <f>13768+120069+45235</f>
        <v>179072</v>
      </c>
      <c r="F460" s="699">
        <v>10065</v>
      </c>
      <c r="G460" s="698">
        <v>0</v>
      </c>
      <c r="H460" s="700">
        <v>0</v>
      </c>
      <c r="I460" s="697">
        <f>J460+K460+L460+M460</f>
        <v>189110</v>
      </c>
      <c r="J460" s="699">
        <f>13768+120069+45235-24</f>
        <v>179048</v>
      </c>
      <c r="K460" s="699">
        <v>10062</v>
      </c>
      <c r="L460" s="698">
        <v>0</v>
      </c>
      <c r="M460" s="700">
        <v>0</v>
      </c>
      <c r="N460" s="701">
        <f>J460+K460+P460</f>
        <v>189110</v>
      </c>
      <c r="O460" s="702">
        <f t="shared" ref="O460:O522" si="387">N460/D460*100</f>
        <v>99.985724633466745</v>
      </c>
      <c r="P460" s="698">
        <v>0</v>
      </c>
      <c r="Q460" s="698">
        <v>0</v>
      </c>
      <c r="R460" s="699">
        <f t="shared" si="377"/>
        <v>0</v>
      </c>
      <c r="S460" s="2824"/>
      <c r="T460" s="537"/>
    </row>
    <row r="461" spans="1:20" s="726" customFormat="1" ht="12.75" customHeight="1" x14ac:dyDescent="0.2">
      <c r="A461" s="2810"/>
      <c r="B461" s="703" t="s">
        <v>13</v>
      </c>
      <c r="C461" s="2816"/>
      <c r="D461" s="704">
        <f>E461+F461+G461+H461</f>
        <v>1071758</v>
      </c>
      <c r="E461" s="776">
        <f t="shared" si="385"/>
        <v>1014738</v>
      </c>
      <c r="F461" s="1109">
        <f>F462</f>
        <v>57020</v>
      </c>
      <c r="G461" s="1110">
        <f>G462</f>
        <v>0</v>
      </c>
      <c r="H461" s="1110">
        <f>H462</f>
        <v>0</v>
      </c>
      <c r="I461" s="704">
        <f>J461+K461+L461+M461</f>
        <v>1071619</v>
      </c>
      <c r="J461" s="776">
        <f t="shared" si="386"/>
        <v>1014602</v>
      </c>
      <c r="K461" s="1109">
        <f>K462</f>
        <v>57017</v>
      </c>
      <c r="L461" s="1110">
        <f>L462</f>
        <v>0</v>
      </c>
      <c r="M461" s="1111">
        <f>M462</f>
        <v>0</v>
      </c>
      <c r="N461" s="1112">
        <f>N462</f>
        <v>1071619</v>
      </c>
      <c r="O461" s="1113">
        <f t="shared" si="387"/>
        <v>99.987030654308157</v>
      </c>
      <c r="P461" s="1110">
        <f>+P462</f>
        <v>0</v>
      </c>
      <c r="Q461" s="1110">
        <v>0</v>
      </c>
      <c r="R461" s="1109">
        <f t="shared" si="377"/>
        <v>0</v>
      </c>
      <c r="S461" s="2824"/>
      <c r="T461" s="537"/>
    </row>
    <row r="462" spans="1:20" s="726" customFormat="1" ht="12.75" customHeight="1" x14ac:dyDescent="0.2">
      <c r="A462" s="2810"/>
      <c r="B462" s="855" t="s">
        <v>14</v>
      </c>
      <c r="C462" s="2816"/>
      <c r="D462" s="697">
        <f>E462+F462+G462+H462</f>
        <v>1071758</v>
      </c>
      <c r="E462" s="699">
        <f>78018+680390+256330</f>
        <v>1014738</v>
      </c>
      <c r="F462" s="699">
        <v>57020</v>
      </c>
      <c r="G462" s="698">
        <v>0</v>
      </c>
      <c r="H462" s="700">
        <v>0</v>
      </c>
      <c r="I462" s="697">
        <f>J462+K462+L462+M462</f>
        <v>1071619</v>
      </c>
      <c r="J462" s="699">
        <f>78018+680390+256330-136</f>
        <v>1014602</v>
      </c>
      <c r="K462" s="699">
        <v>57017</v>
      </c>
      <c r="L462" s="698">
        <v>0</v>
      </c>
      <c r="M462" s="700">
        <v>0</v>
      </c>
      <c r="N462" s="701">
        <f>J462+K462+P462</f>
        <v>1071619</v>
      </c>
      <c r="O462" s="702">
        <f t="shared" si="387"/>
        <v>99.987030654308157</v>
      </c>
      <c r="P462" s="698">
        <v>0</v>
      </c>
      <c r="Q462" s="698">
        <v>0</v>
      </c>
      <c r="R462" s="699">
        <f t="shared" si="377"/>
        <v>0</v>
      </c>
      <c r="S462" s="2824"/>
      <c r="T462" s="537"/>
    </row>
    <row r="463" spans="1:20" s="726" customFormat="1" ht="12.75" customHeight="1" x14ac:dyDescent="0.2">
      <c r="A463" s="2811"/>
      <c r="B463" s="565" t="s">
        <v>17</v>
      </c>
      <c r="C463" s="566"/>
      <c r="D463" s="828">
        <f t="shared" ref="D463:H464" si="388">D464</f>
        <v>1240064</v>
      </c>
      <c r="E463" s="828">
        <f t="shared" si="388"/>
        <v>279365</v>
      </c>
      <c r="F463" s="828">
        <f t="shared" si="388"/>
        <v>555923</v>
      </c>
      <c r="G463" s="828">
        <f t="shared" si="388"/>
        <v>404776</v>
      </c>
      <c r="H463" s="934">
        <f t="shared" si="388"/>
        <v>0</v>
      </c>
      <c r="I463" s="826">
        <f t="shared" ref="I463:N464" si="389">I464</f>
        <v>1071619</v>
      </c>
      <c r="J463" s="828">
        <f t="shared" si="389"/>
        <v>261518</v>
      </c>
      <c r="K463" s="828">
        <f t="shared" si="389"/>
        <v>539643</v>
      </c>
      <c r="L463" s="828">
        <f t="shared" si="389"/>
        <v>270458</v>
      </c>
      <c r="M463" s="875">
        <f t="shared" si="389"/>
        <v>0</v>
      </c>
      <c r="N463" s="826">
        <f t="shared" si="389"/>
        <v>876437</v>
      </c>
      <c r="O463" s="830">
        <f t="shared" si="387"/>
        <v>70.676755393270028</v>
      </c>
      <c r="P463" s="828">
        <f>+P464</f>
        <v>75276</v>
      </c>
      <c r="Q463" s="830">
        <f t="shared" ref="Q463:Q514" si="390">P463/G463*100</f>
        <v>18.59695238848153</v>
      </c>
      <c r="R463" s="828">
        <f t="shared" si="377"/>
        <v>-195182</v>
      </c>
      <c r="S463" s="2816"/>
      <c r="T463" s="537"/>
    </row>
    <row r="464" spans="1:20" s="726" customFormat="1" ht="12.75" customHeight="1" x14ac:dyDescent="0.2">
      <c r="A464" s="2811"/>
      <c r="B464" s="703" t="s">
        <v>13</v>
      </c>
      <c r="C464" s="2825" t="s">
        <v>125</v>
      </c>
      <c r="D464" s="704">
        <v>1240064</v>
      </c>
      <c r="E464" s="705">
        <f t="shared" si="388"/>
        <v>279365</v>
      </c>
      <c r="F464" s="705">
        <f t="shared" si="388"/>
        <v>555923</v>
      </c>
      <c r="G464" s="705">
        <f t="shared" si="388"/>
        <v>404776</v>
      </c>
      <c r="H464" s="1114">
        <f t="shared" si="388"/>
        <v>0</v>
      </c>
      <c r="I464" s="704">
        <f t="shared" si="389"/>
        <v>1071619</v>
      </c>
      <c r="J464" s="705">
        <f t="shared" si="389"/>
        <v>261518</v>
      </c>
      <c r="K464" s="705">
        <f t="shared" si="389"/>
        <v>539643</v>
      </c>
      <c r="L464" s="705">
        <f t="shared" si="389"/>
        <v>270458</v>
      </c>
      <c r="M464" s="825">
        <f t="shared" si="389"/>
        <v>0</v>
      </c>
      <c r="N464" s="704">
        <f t="shared" si="389"/>
        <v>876437</v>
      </c>
      <c r="O464" s="708">
        <f t="shared" si="387"/>
        <v>70.676755393270028</v>
      </c>
      <c r="P464" s="705">
        <f>+P465</f>
        <v>75276</v>
      </c>
      <c r="Q464" s="708">
        <f t="shared" si="390"/>
        <v>18.59695238848153</v>
      </c>
      <c r="R464" s="705">
        <f t="shared" si="377"/>
        <v>-195182</v>
      </c>
      <c r="S464" s="2816"/>
      <c r="T464" s="537"/>
    </row>
    <row r="465" spans="1:22" s="726" customFormat="1" ht="12.75" customHeight="1" thickBot="1" x14ac:dyDescent="0.25">
      <c r="A465" s="2812"/>
      <c r="B465" s="1115" t="s">
        <v>14</v>
      </c>
      <c r="C465" s="2818"/>
      <c r="D465" s="718">
        <f>E465+F465+G465+H465</f>
        <v>1240064</v>
      </c>
      <c r="E465" s="720">
        <v>279365</v>
      </c>
      <c r="F465" s="720">
        <v>555923</v>
      </c>
      <c r="G465" s="720">
        <v>404776</v>
      </c>
      <c r="H465" s="719">
        <v>0</v>
      </c>
      <c r="I465" s="718">
        <f>J465+K465+L465+M465</f>
        <v>1071619</v>
      </c>
      <c r="J465" s="720">
        <f>279365-17847</f>
        <v>261518</v>
      </c>
      <c r="K465" s="720">
        <f>555923-16280</f>
        <v>539643</v>
      </c>
      <c r="L465" s="720">
        <v>270458</v>
      </c>
      <c r="M465" s="1116">
        <v>0</v>
      </c>
      <c r="N465" s="722">
        <f>J465+K465+P465</f>
        <v>876437</v>
      </c>
      <c r="O465" s="723">
        <f t="shared" si="387"/>
        <v>70.676755393270028</v>
      </c>
      <c r="P465" s="1117">
        <v>75276</v>
      </c>
      <c r="Q465" s="723">
        <f t="shared" si="390"/>
        <v>18.59695238848153</v>
      </c>
      <c r="R465" s="720">
        <f>+P465-L465</f>
        <v>-195182</v>
      </c>
      <c r="S465" s="2818"/>
      <c r="T465" s="537"/>
    </row>
    <row r="466" spans="1:22" s="726" customFormat="1" ht="27" customHeight="1" thickBot="1" x14ac:dyDescent="0.25">
      <c r="A466" s="1118"/>
      <c r="B466" s="1119" t="s">
        <v>312</v>
      </c>
      <c r="C466" s="1120"/>
      <c r="D466" s="1121"/>
      <c r="E466" s="1122"/>
      <c r="F466" s="1123"/>
      <c r="G466" s="1123"/>
      <c r="H466" s="1124"/>
      <c r="I466" s="1121"/>
      <c r="J466" s="1122"/>
      <c r="K466" s="1123"/>
      <c r="L466" s="1123"/>
      <c r="M466" s="1124"/>
      <c r="N466" s="1125"/>
      <c r="O466" s="1126"/>
      <c r="P466" s="1127"/>
      <c r="Q466" s="1126"/>
      <c r="R466" s="1123"/>
      <c r="S466" s="1128"/>
      <c r="T466" s="537"/>
    </row>
    <row r="467" spans="1:22" ht="18" customHeight="1" thickBot="1" x14ac:dyDescent="0.25">
      <c r="A467" s="1129"/>
      <c r="B467" s="264" t="s">
        <v>220</v>
      </c>
      <c r="C467" s="509"/>
      <c r="D467" s="35">
        <f t="shared" ref="D467:N467" si="391">D468+D469</f>
        <v>547970653</v>
      </c>
      <c r="E467" s="36">
        <f t="shared" si="391"/>
        <v>54283691</v>
      </c>
      <c r="F467" s="34">
        <f t="shared" si="391"/>
        <v>60090300</v>
      </c>
      <c r="G467" s="34">
        <f t="shared" si="391"/>
        <v>111175720</v>
      </c>
      <c r="H467" s="37">
        <f t="shared" si="391"/>
        <v>322420942</v>
      </c>
      <c r="I467" s="35">
        <f t="shared" si="391"/>
        <v>547720947.31999993</v>
      </c>
      <c r="J467" s="34">
        <f t="shared" si="391"/>
        <v>54265203</v>
      </c>
      <c r="K467" s="34">
        <f>K468+K469</f>
        <v>59859082.32</v>
      </c>
      <c r="L467" s="34">
        <f t="shared" si="391"/>
        <v>111175720</v>
      </c>
      <c r="M467" s="37">
        <f t="shared" si="391"/>
        <v>322420942</v>
      </c>
      <c r="N467" s="35">
        <f t="shared" si="391"/>
        <v>146461841.63999999</v>
      </c>
      <c r="O467" s="39">
        <f t="shared" si="387"/>
        <v>26.728044802793477</v>
      </c>
      <c r="P467" s="36">
        <f>P468+P469</f>
        <v>32337556.32</v>
      </c>
      <c r="Q467" s="39">
        <f t="shared" si="390"/>
        <v>29.086887244804892</v>
      </c>
      <c r="R467" s="36">
        <f t="shared" ref="R467:R469" si="392">+P467-L467*0.25</f>
        <v>4543626.32</v>
      </c>
      <c r="S467" s="2864"/>
      <c r="T467" s="537"/>
      <c r="U467" s="537">
        <f>M470-S467</f>
        <v>322420942</v>
      </c>
      <c r="V467" s="537">
        <f>N470-T467</f>
        <v>146461841.64000002</v>
      </c>
    </row>
    <row r="468" spans="1:22" ht="15" customHeight="1" thickTop="1" thickBot="1" x14ac:dyDescent="0.25">
      <c r="A468" s="1130"/>
      <c r="B468" s="513" t="s">
        <v>221</v>
      </c>
      <c r="C468" s="514"/>
      <c r="D468" s="47">
        <f>D536+D540+D544+D548+D552</f>
        <v>412075398</v>
      </c>
      <c r="E468" s="47">
        <f t="shared" ref="E468:P468" si="393">E536+E540+E544+E548+E552</f>
        <v>18053327</v>
      </c>
      <c r="F468" s="44">
        <f t="shared" si="393"/>
        <v>12496730</v>
      </c>
      <c r="G468" s="43">
        <f t="shared" si="393"/>
        <v>94003066</v>
      </c>
      <c r="H468" s="46">
        <f t="shared" si="393"/>
        <v>287522275</v>
      </c>
      <c r="I468" s="44">
        <f t="shared" si="393"/>
        <v>411826403.31999999</v>
      </c>
      <c r="J468" s="43">
        <f t="shared" si="393"/>
        <v>18034839</v>
      </c>
      <c r="K468" s="43">
        <f t="shared" si="393"/>
        <v>12266223.32</v>
      </c>
      <c r="L468" s="43">
        <f t="shared" si="393"/>
        <v>94003066</v>
      </c>
      <c r="M468" s="46">
        <f t="shared" si="393"/>
        <v>287522275</v>
      </c>
      <c r="N468" s="47">
        <f t="shared" si="393"/>
        <v>62611618.640000001</v>
      </c>
      <c r="O468" s="48">
        <f t="shared" si="387"/>
        <v>15.194214200576953</v>
      </c>
      <c r="P468" s="45">
        <f t="shared" si="393"/>
        <v>32310556.32</v>
      </c>
      <c r="Q468" s="48">
        <f t="shared" si="390"/>
        <v>34.371811149223582</v>
      </c>
      <c r="R468" s="45">
        <f t="shared" si="392"/>
        <v>8809789.8200000003</v>
      </c>
      <c r="S468" s="2865"/>
      <c r="T468" s="537"/>
      <c r="U468" s="537"/>
      <c r="V468" s="537"/>
    </row>
    <row r="469" spans="1:22" ht="16.5" customHeight="1" thickTop="1" thickBot="1" x14ac:dyDescent="0.25">
      <c r="A469" s="1131"/>
      <c r="B469" s="283" t="s">
        <v>222</v>
      </c>
      <c r="C469" s="1132"/>
      <c r="D469" s="527">
        <f>D482+D492+D496+D504+D508+D512+D516+D524+D528</f>
        <v>135895255</v>
      </c>
      <c r="E469" s="527">
        <f t="shared" ref="E469:P469" si="394">E482+E492+E496+E504+E508+E512+E516+E524+E528</f>
        <v>36230364</v>
      </c>
      <c r="F469" s="287">
        <f t="shared" si="394"/>
        <v>47593570</v>
      </c>
      <c r="G469" s="286">
        <f t="shared" si="394"/>
        <v>17172654</v>
      </c>
      <c r="H469" s="525">
        <f t="shared" si="394"/>
        <v>34898667</v>
      </c>
      <c r="I469" s="287">
        <f t="shared" si="394"/>
        <v>135894544</v>
      </c>
      <c r="J469" s="286">
        <f t="shared" si="394"/>
        <v>36230364</v>
      </c>
      <c r="K469" s="286">
        <f t="shared" si="394"/>
        <v>47592859</v>
      </c>
      <c r="L469" s="286">
        <f t="shared" si="394"/>
        <v>17172654</v>
      </c>
      <c r="M469" s="525">
        <f t="shared" si="394"/>
        <v>34898667</v>
      </c>
      <c r="N469" s="527">
        <f t="shared" si="394"/>
        <v>83850223</v>
      </c>
      <c r="O469" s="56">
        <f t="shared" si="387"/>
        <v>61.702097692814952</v>
      </c>
      <c r="P469" s="285">
        <f t="shared" si="394"/>
        <v>27000</v>
      </c>
      <c r="Q469" s="56">
        <f t="shared" si="390"/>
        <v>0.15722671638291902</v>
      </c>
      <c r="R469" s="1133">
        <f t="shared" si="392"/>
        <v>-4266163.5</v>
      </c>
      <c r="S469" s="2865"/>
      <c r="T469" s="537"/>
      <c r="U469" s="537"/>
      <c r="V469" s="537"/>
    </row>
    <row r="470" spans="1:22" ht="15.75" customHeight="1" x14ac:dyDescent="0.2">
      <c r="A470" s="1134"/>
      <c r="B470" s="1091" t="s">
        <v>3</v>
      </c>
      <c r="C470" s="1092"/>
      <c r="D470" s="1135">
        <f>+D471</f>
        <v>547970653</v>
      </c>
      <c r="E470" s="1136">
        <f t="shared" ref="E470:P470" si="395">+E471</f>
        <v>54283691</v>
      </c>
      <c r="F470" s="1137">
        <f t="shared" si="395"/>
        <v>60090300</v>
      </c>
      <c r="G470" s="1137">
        <f t="shared" si="395"/>
        <v>111175720</v>
      </c>
      <c r="H470" s="1138">
        <f t="shared" si="395"/>
        <v>322420942</v>
      </c>
      <c r="I470" s="1139">
        <f t="shared" si="395"/>
        <v>547720947.31999993</v>
      </c>
      <c r="J470" s="1137">
        <f t="shared" si="395"/>
        <v>54265203</v>
      </c>
      <c r="K470" s="1137">
        <f t="shared" si="395"/>
        <v>59859082.32</v>
      </c>
      <c r="L470" s="1137">
        <f t="shared" si="395"/>
        <v>111175720</v>
      </c>
      <c r="M470" s="1138">
        <f t="shared" si="395"/>
        <v>322420942</v>
      </c>
      <c r="N470" s="1135">
        <f t="shared" si="395"/>
        <v>146461841.64000002</v>
      </c>
      <c r="O470" s="1140">
        <f t="shared" si="387"/>
        <v>26.728044802793484</v>
      </c>
      <c r="P470" s="1136">
        <f t="shared" si="395"/>
        <v>32337556.32</v>
      </c>
      <c r="Q470" s="1140">
        <f t="shared" si="390"/>
        <v>29.086887244804892</v>
      </c>
      <c r="R470" s="1136">
        <f>+P470-L470</f>
        <v>-78838163.680000007</v>
      </c>
      <c r="S470" s="2866"/>
      <c r="T470" s="537"/>
    </row>
    <row r="471" spans="1:22" s="547" customFormat="1" x14ac:dyDescent="0.2">
      <c r="A471" s="1134"/>
      <c r="B471" s="1141" t="s">
        <v>388</v>
      </c>
      <c r="C471" s="2868"/>
      <c r="D471" s="1142">
        <f>+D472+D473+D474+D475</f>
        <v>547970653</v>
      </c>
      <c r="E471" s="1143">
        <f t="shared" ref="E471:M471" si="396">+E472+E473+E474+E475</f>
        <v>54283691</v>
      </c>
      <c r="F471" s="1144">
        <f t="shared" si="396"/>
        <v>60090300</v>
      </c>
      <c r="G471" s="1144">
        <f t="shared" si="396"/>
        <v>111175720</v>
      </c>
      <c r="H471" s="1145">
        <f>+H472+H473+H474+H475</f>
        <v>322420942</v>
      </c>
      <c r="I471" s="1146">
        <f t="shared" si="396"/>
        <v>547720947.31999993</v>
      </c>
      <c r="J471" s="1144">
        <f>+J472+J473+J474+J475</f>
        <v>54265203</v>
      </c>
      <c r="K471" s="1144">
        <f t="shared" si="396"/>
        <v>59859082.32</v>
      </c>
      <c r="L471" s="1144">
        <f t="shared" si="396"/>
        <v>111175720</v>
      </c>
      <c r="M471" s="1145">
        <f t="shared" si="396"/>
        <v>322420942</v>
      </c>
      <c r="N471" s="1142">
        <f>+N472+N473+N474+N475</f>
        <v>146461841.64000002</v>
      </c>
      <c r="O471" s="1147">
        <f t="shared" si="387"/>
        <v>26.728044802793484</v>
      </c>
      <c r="P471" s="1143">
        <f>+P472+P473+P474+P475</f>
        <v>32337556.32</v>
      </c>
      <c r="Q471" s="1147">
        <f t="shared" si="390"/>
        <v>29.086887244804892</v>
      </c>
      <c r="R471" s="1143">
        <f t="shared" ref="R471:R513" si="397">+P471-L471</f>
        <v>-78838163.680000007</v>
      </c>
      <c r="S471" s="2866"/>
      <c r="T471" s="537"/>
    </row>
    <row r="472" spans="1:22" ht="14.25" customHeight="1" x14ac:dyDescent="0.2">
      <c r="A472" s="1134"/>
      <c r="B472" s="1148" t="s">
        <v>5</v>
      </c>
      <c r="C472" s="2869"/>
      <c r="D472" s="1149">
        <f>D484+D494+D498+D510+D514+D518+D526+D530+D538+D542+D546+D550+D554+D506</f>
        <v>529233548</v>
      </c>
      <c r="E472" s="1149">
        <f t="shared" ref="E472:P472" si="398">E484+E494+E498+E510+E514+E518+E526+E530+E538+E542+E546+E550+E554+E506</f>
        <v>51509411</v>
      </c>
      <c r="F472" s="1150">
        <f t="shared" si="398"/>
        <v>52133725</v>
      </c>
      <c r="G472" s="1151">
        <f t="shared" si="398"/>
        <v>103169470</v>
      </c>
      <c r="H472" s="1152">
        <f t="shared" si="398"/>
        <v>322420942</v>
      </c>
      <c r="I472" s="1150">
        <f t="shared" si="398"/>
        <v>528983842.31999999</v>
      </c>
      <c r="J472" s="1151">
        <f t="shared" si="398"/>
        <v>51490923</v>
      </c>
      <c r="K472" s="1151">
        <f t="shared" si="398"/>
        <v>51902507.32</v>
      </c>
      <c r="L472" s="1151">
        <f t="shared" si="398"/>
        <v>103169470</v>
      </c>
      <c r="M472" s="1152">
        <f t="shared" si="398"/>
        <v>322420942</v>
      </c>
      <c r="N472" s="1149">
        <f t="shared" si="398"/>
        <v>135730986.64000002</v>
      </c>
      <c r="O472" s="1153">
        <f t="shared" si="387"/>
        <v>25.646708745682162</v>
      </c>
      <c r="P472" s="1154">
        <f t="shared" si="398"/>
        <v>32337556.32</v>
      </c>
      <c r="Q472" s="1153">
        <f t="shared" si="390"/>
        <v>31.344114029082444</v>
      </c>
      <c r="R472" s="1154">
        <f>+P472-L472</f>
        <v>-70831913.680000007</v>
      </c>
      <c r="S472" s="2866"/>
      <c r="T472" s="537"/>
    </row>
    <row r="473" spans="1:22" ht="14.25" customHeight="1" x14ac:dyDescent="0.2">
      <c r="A473" s="1134"/>
      <c r="B473" s="1155" t="s">
        <v>36</v>
      </c>
      <c r="C473" s="2869"/>
      <c r="D473" s="1149">
        <f>+D485</f>
        <v>14587500</v>
      </c>
      <c r="E473" s="1149">
        <f t="shared" ref="E473:P473" si="399">+E485</f>
        <v>0</v>
      </c>
      <c r="F473" s="1150">
        <f t="shared" si="399"/>
        <v>7293750</v>
      </c>
      <c r="G473" s="1151">
        <f t="shared" si="399"/>
        <v>7293750</v>
      </c>
      <c r="H473" s="1156">
        <f t="shared" si="399"/>
        <v>0</v>
      </c>
      <c r="I473" s="1150">
        <f t="shared" si="399"/>
        <v>14587500</v>
      </c>
      <c r="J473" s="1151">
        <f t="shared" si="399"/>
        <v>0</v>
      </c>
      <c r="K473" s="1151">
        <f t="shared" si="399"/>
        <v>7293750</v>
      </c>
      <c r="L473" s="1151">
        <f t="shared" si="399"/>
        <v>7293750</v>
      </c>
      <c r="M473" s="1152">
        <f t="shared" si="399"/>
        <v>0</v>
      </c>
      <c r="N473" s="1149">
        <f t="shared" si="399"/>
        <v>7293750</v>
      </c>
      <c r="O473" s="1157">
        <f t="shared" si="387"/>
        <v>50</v>
      </c>
      <c r="P473" s="1158">
        <f t="shared" si="399"/>
        <v>0</v>
      </c>
      <c r="Q473" s="1159">
        <f t="shared" si="390"/>
        <v>0</v>
      </c>
      <c r="R473" s="1154">
        <f t="shared" si="397"/>
        <v>-7293750</v>
      </c>
      <c r="S473" s="2866"/>
      <c r="T473" s="537"/>
    </row>
    <row r="474" spans="1:22" ht="14.25" customHeight="1" x14ac:dyDescent="0.2">
      <c r="A474" s="1134"/>
      <c r="B474" s="1155" t="s">
        <v>66</v>
      </c>
      <c r="C474" s="2869"/>
      <c r="D474" s="1149">
        <f>+D499+D519+D531</f>
        <v>3437105</v>
      </c>
      <c r="E474" s="1149">
        <f t="shared" ref="E474:P474" si="400">+E499+E519+E531</f>
        <v>2774280</v>
      </c>
      <c r="F474" s="1150">
        <f t="shared" si="400"/>
        <v>662825</v>
      </c>
      <c r="G474" s="1160">
        <f t="shared" si="400"/>
        <v>0</v>
      </c>
      <c r="H474" s="1156">
        <f t="shared" si="400"/>
        <v>0</v>
      </c>
      <c r="I474" s="1150">
        <f t="shared" si="400"/>
        <v>3437105</v>
      </c>
      <c r="J474" s="1151">
        <f t="shared" si="400"/>
        <v>2774280</v>
      </c>
      <c r="K474" s="1151">
        <f t="shared" si="400"/>
        <v>662825</v>
      </c>
      <c r="L474" s="1151">
        <f t="shared" si="400"/>
        <v>0</v>
      </c>
      <c r="M474" s="1152">
        <f t="shared" si="400"/>
        <v>0</v>
      </c>
      <c r="N474" s="1149">
        <f t="shared" si="400"/>
        <v>3437105</v>
      </c>
      <c r="O474" s="1157">
        <f t="shared" si="387"/>
        <v>100</v>
      </c>
      <c r="P474" s="1158">
        <f t="shared" si="400"/>
        <v>0</v>
      </c>
      <c r="Q474" s="1159">
        <v>0</v>
      </c>
      <c r="R474" s="1154">
        <f t="shared" si="397"/>
        <v>0</v>
      </c>
      <c r="S474" s="2866"/>
      <c r="T474" s="537"/>
    </row>
    <row r="475" spans="1:22" ht="13.5" customHeight="1" x14ac:dyDescent="0.2">
      <c r="A475" s="1134"/>
      <c r="B475" s="1161" t="s">
        <v>111</v>
      </c>
      <c r="C475" s="2869"/>
      <c r="D475" s="1149">
        <f>+D486</f>
        <v>712500</v>
      </c>
      <c r="E475" s="1149">
        <f t="shared" ref="E475:P475" si="401">+E486</f>
        <v>0</v>
      </c>
      <c r="F475" s="1150">
        <f t="shared" si="401"/>
        <v>0</v>
      </c>
      <c r="G475" s="1151">
        <f t="shared" si="401"/>
        <v>712500</v>
      </c>
      <c r="H475" s="1156">
        <f t="shared" si="401"/>
        <v>0</v>
      </c>
      <c r="I475" s="1150">
        <f t="shared" si="401"/>
        <v>712500</v>
      </c>
      <c r="J475" s="1151">
        <f t="shared" si="401"/>
        <v>0</v>
      </c>
      <c r="K475" s="1151">
        <f t="shared" si="401"/>
        <v>0</v>
      </c>
      <c r="L475" s="1151">
        <f t="shared" si="401"/>
        <v>712500</v>
      </c>
      <c r="M475" s="1152">
        <f t="shared" si="401"/>
        <v>0</v>
      </c>
      <c r="N475" s="1149">
        <f t="shared" si="401"/>
        <v>0</v>
      </c>
      <c r="O475" s="1157">
        <f t="shared" si="387"/>
        <v>0</v>
      </c>
      <c r="P475" s="1154">
        <f t="shared" si="401"/>
        <v>0</v>
      </c>
      <c r="Q475" s="1157">
        <f t="shared" si="390"/>
        <v>0</v>
      </c>
      <c r="R475" s="1154">
        <f t="shared" si="397"/>
        <v>-712500</v>
      </c>
      <c r="S475" s="2866"/>
      <c r="T475" s="537"/>
    </row>
    <row r="476" spans="1:22" ht="14.25" customHeight="1" x14ac:dyDescent="0.2">
      <c r="A476" s="1134"/>
      <c r="B476" s="606" t="s">
        <v>17</v>
      </c>
      <c r="C476" s="607"/>
      <c r="D476" s="1162">
        <f>+D477</f>
        <v>18737105</v>
      </c>
      <c r="E476" s="1162">
        <f t="shared" ref="E476:P476" si="402">+E477</f>
        <v>3486780</v>
      </c>
      <c r="F476" s="1163">
        <f t="shared" si="402"/>
        <v>7956575</v>
      </c>
      <c r="G476" s="1164">
        <f t="shared" si="402"/>
        <v>7293750</v>
      </c>
      <c r="H476" s="1165">
        <f t="shared" si="402"/>
        <v>0</v>
      </c>
      <c r="I476" s="1163">
        <f t="shared" si="402"/>
        <v>18737105</v>
      </c>
      <c r="J476" s="1164">
        <f t="shared" si="402"/>
        <v>3486780</v>
      </c>
      <c r="K476" s="1164">
        <f t="shared" si="402"/>
        <v>7956575</v>
      </c>
      <c r="L476" s="1164">
        <f t="shared" si="402"/>
        <v>7293750</v>
      </c>
      <c r="M476" s="1166">
        <f t="shared" si="402"/>
        <v>0</v>
      </c>
      <c r="N476" s="1162">
        <f t="shared" si="402"/>
        <v>11443355</v>
      </c>
      <c r="O476" s="1167">
        <f t="shared" si="387"/>
        <v>61.073228761860484</v>
      </c>
      <c r="P476" s="1168">
        <f t="shared" si="402"/>
        <v>0</v>
      </c>
      <c r="Q476" s="1167">
        <f t="shared" si="390"/>
        <v>0</v>
      </c>
      <c r="R476" s="1168">
        <f t="shared" si="397"/>
        <v>-7293750</v>
      </c>
      <c r="S476" s="2866"/>
      <c r="T476" s="537"/>
    </row>
    <row r="477" spans="1:22" ht="13.5" customHeight="1" x14ac:dyDescent="0.2">
      <c r="A477" s="1134"/>
      <c r="B477" s="1169" t="s">
        <v>389</v>
      </c>
      <c r="C477" s="2870"/>
      <c r="D477" s="1142">
        <f>+D478+D479+D480</f>
        <v>18737105</v>
      </c>
      <c r="E477" s="1142">
        <f t="shared" ref="E477:P477" si="403">+E478+E479+E480</f>
        <v>3486780</v>
      </c>
      <c r="F477" s="1146">
        <f t="shared" si="403"/>
        <v>7956575</v>
      </c>
      <c r="G477" s="1144">
        <f t="shared" si="403"/>
        <v>7293750</v>
      </c>
      <c r="H477" s="1170">
        <f t="shared" si="403"/>
        <v>0</v>
      </c>
      <c r="I477" s="1146">
        <f t="shared" si="403"/>
        <v>18737105</v>
      </c>
      <c r="J477" s="1144">
        <f t="shared" si="403"/>
        <v>3486780</v>
      </c>
      <c r="K477" s="1144">
        <f t="shared" si="403"/>
        <v>7956575</v>
      </c>
      <c r="L477" s="1144">
        <f t="shared" si="403"/>
        <v>7293750</v>
      </c>
      <c r="M477" s="1145">
        <f t="shared" si="403"/>
        <v>0</v>
      </c>
      <c r="N477" s="1142">
        <f t="shared" si="403"/>
        <v>11443355</v>
      </c>
      <c r="O477" s="1147">
        <f t="shared" si="387"/>
        <v>61.073228761860484</v>
      </c>
      <c r="P477" s="1143">
        <f t="shared" si="403"/>
        <v>0</v>
      </c>
      <c r="Q477" s="1147">
        <f t="shared" si="390"/>
        <v>0</v>
      </c>
      <c r="R477" s="1143">
        <f t="shared" si="397"/>
        <v>-7293750</v>
      </c>
      <c r="S477" s="2866"/>
      <c r="T477" s="537"/>
    </row>
    <row r="478" spans="1:22" ht="13.5" customHeight="1" x14ac:dyDescent="0.2">
      <c r="A478" s="1134"/>
      <c r="B478" s="1161" t="s">
        <v>36</v>
      </c>
      <c r="C478" s="2871"/>
      <c r="D478" s="1149">
        <f>+D489</f>
        <v>14587500</v>
      </c>
      <c r="E478" s="1149">
        <f t="shared" ref="E478:M478" si="404">+E489</f>
        <v>0</v>
      </c>
      <c r="F478" s="1150">
        <f t="shared" si="404"/>
        <v>7293750</v>
      </c>
      <c r="G478" s="1151">
        <f t="shared" si="404"/>
        <v>7293750</v>
      </c>
      <c r="H478" s="1156">
        <f t="shared" si="404"/>
        <v>0</v>
      </c>
      <c r="I478" s="1150">
        <f t="shared" si="404"/>
        <v>14587500</v>
      </c>
      <c r="J478" s="1151">
        <f t="shared" si="404"/>
        <v>0</v>
      </c>
      <c r="K478" s="1152">
        <f t="shared" si="404"/>
        <v>7293750</v>
      </c>
      <c r="L478" s="1171">
        <f t="shared" si="404"/>
        <v>7293750</v>
      </c>
      <c r="M478" s="1152">
        <f t="shared" si="404"/>
        <v>0</v>
      </c>
      <c r="N478" s="1149">
        <f t="shared" ref="N478" si="405">+N489</f>
        <v>7293750</v>
      </c>
      <c r="O478" s="1157">
        <f t="shared" si="387"/>
        <v>50</v>
      </c>
      <c r="P478" s="1154">
        <f t="shared" ref="P478" si="406">+P489</f>
        <v>0</v>
      </c>
      <c r="Q478" s="1157">
        <f t="shared" si="390"/>
        <v>0</v>
      </c>
      <c r="R478" s="1154">
        <f t="shared" si="397"/>
        <v>-7293750</v>
      </c>
      <c r="S478" s="2866"/>
      <c r="T478" s="537"/>
    </row>
    <row r="479" spans="1:22" ht="13.5" customHeight="1" x14ac:dyDescent="0.2">
      <c r="A479" s="1134"/>
      <c r="B479" s="1161" t="s">
        <v>66</v>
      </c>
      <c r="C479" s="2871"/>
      <c r="D479" s="1149">
        <f>+D502+D522+D534</f>
        <v>3437105</v>
      </c>
      <c r="E479" s="1149">
        <f t="shared" ref="E479:M479" si="407">+E502+E522+E534</f>
        <v>2774280</v>
      </c>
      <c r="F479" s="1150">
        <f t="shared" si="407"/>
        <v>662825</v>
      </c>
      <c r="G479" s="1160">
        <f t="shared" si="407"/>
        <v>0</v>
      </c>
      <c r="H479" s="1156">
        <f t="shared" si="407"/>
        <v>0</v>
      </c>
      <c r="I479" s="1150">
        <f t="shared" si="407"/>
        <v>3437105</v>
      </c>
      <c r="J479" s="1151">
        <f t="shared" si="407"/>
        <v>2774280</v>
      </c>
      <c r="K479" s="1152">
        <f t="shared" si="407"/>
        <v>662825</v>
      </c>
      <c r="L479" s="1171">
        <f t="shared" si="407"/>
        <v>0</v>
      </c>
      <c r="M479" s="1152">
        <f t="shared" si="407"/>
        <v>0</v>
      </c>
      <c r="N479" s="1149">
        <f t="shared" ref="N479" si="408">+N502+N522+N534</f>
        <v>3437105</v>
      </c>
      <c r="O479" s="1157">
        <f t="shared" si="387"/>
        <v>100</v>
      </c>
      <c r="P479" s="1158">
        <f t="shared" ref="P479" si="409">+P502+P522+P534</f>
        <v>0</v>
      </c>
      <c r="Q479" s="1159">
        <v>0</v>
      </c>
      <c r="R479" s="1154">
        <f>+P479-L479</f>
        <v>0</v>
      </c>
      <c r="S479" s="2866"/>
      <c r="T479" s="537"/>
    </row>
    <row r="480" spans="1:22" ht="13.5" customHeight="1" thickBot="1" x14ac:dyDescent="0.25">
      <c r="A480" s="1172"/>
      <c r="B480" s="1173" t="s">
        <v>111</v>
      </c>
      <c r="C480" s="2872"/>
      <c r="D480" s="1174">
        <f>+D490</f>
        <v>712500</v>
      </c>
      <c r="E480" s="1174">
        <f t="shared" ref="E480:M480" si="410">+E490</f>
        <v>712500</v>
      </c>
      <c r="F480" s="1175">
        <f t="shared" si="410"/>
        <v>0</v>
      </c>
      <c r="G480" s="1176">
        <f t="shared" si="410"/>
        <v>0</v>
      </c>
      <c r="H480" s="1177">
        <f t="shared" si="410"/>
        <v>0</v>
      </c>
      <c r="I480" s="1175">
        <f t="shared" si="410"/>
        <v>712500</v>
      </c>
      <c r="J480" s="1178">
        <f t="shared" si="410"/>
        <v>712500</v>
      </c>
      <c r="K480" s="1179">
        <f t="shared" si="410"/>
        <v>0</v>
      </c>
      <c r="L480" s="1180">
        <f t="shared" si="410"/>
        <v>0</v>
      </c>
      <c r="M480" s="1179">
        <f t="shared" si="410"/>
        <v>0</v>
      </c>
      <c r="N480" s="1174">
        <f t="shared" ref="N480" si="411">+N490</f>
        <v>712500</v>
      </c>
      <c r="O480" s="1157">
        <f t="shared" si="387"/>
        <v>100</v>
      </c>
      <c r="P480" s="1181">
        <f t="shared" ref="P480" si="412">+P490</f>
        <v>0</v>
      </c>
      <c r="Q480" s="1159">
        <v>0</v>
      </c>
      <c r="R480" s="1181">
        <f t="shared" si="397"/>
        <v>0</v>
      </c>
      <c r="S480" s="2867"/>
      <c r="T480" s="537"/>
    </row>
    <row r="481" spans="1:20" ht="27.75" customHeight="1" x14ac:dyDescent="0.2">
      <c r="A481" s="2809" t="s">
        <v>40</v>
      </c>
      <c r="B481" s="1182" t="s">
        <v>116</v>
      </c>
      <c r="C481" s="1183" t="s">
        <v>225</v>
      </c>
      <c r="D481" s="1184"/>
      <c r="E481" s="1185"/>
      <c r="F481" s="1186"/>
      <c r="G481" s="1185"/>
      <c r="H481" s="1186"/>
      <c r="I481" s="1184"/>
      <c r="J481" s="1185"/>
      <c r="K481" s="1187"/>
      <c r="L481" s="1188"/>
      <c r="M481" s="1187"/>
      <c r="N481" s="1184"/>
      <c r="O481" s="1189"/>
      <c r="P481" s="1185"/>
      <c r="Q481" s="1189"/>
      <c r="R481" s="1185"/>
      <c r="S481" s="2862" t="s">
        <v>115</v>
      </c>
      <c r="T481" s="537"/>
    </row>
    <row r="482" spans="1:20" ht="13.5" customHeight="1" x14ac:dyDescent="0.2">
      <c r="A482" s="2810"/>
      <c r="B482" s="565" t="s">
        <v>3</v>
      </c>
      <c r="C482" s="566"/>
      <c r="D482" s="1190">
        <f>SUM(E482:H482)</f>
        <v>20000000</v>
      </c>
      <c r="E482" s="1191">
        <f t="shared" ref="E482" si="413">+E483</f>
        <v>0</v>
      </c>
      <c r="F482" s="1191">
        <f t="shared" ref="F482" si="414">+F483</f>
        <v>10000000</v>
      </c>
      <c r="G482" s="1191">
        <f>+G483</f>
        <v>10000000</v>
      </c>
      <c r="H482" s="990">
        <f>+H483</f>
        <v>0</v>
      </c>
      <c r="I482" s="1039">
        <f>SUM(J482:M482)</f>
        <v>20000000</v>
      </c>
      <c r="J482" s="1192">
        <f t="shared" ref="J482:K482" si="415">+J483</f>
        <v>0</v>
      </c>
      <c r="K482" s="1071">
        <f t="shared" si="415"/>
        <v>10000000</v>
      </c>
      <c r="L482" s="1193">
        <f>+L483</f>
        <v>10000000</v>
      </c>
      <c r="M482" s="990">
        <f>+M483</f>
        <v>0</v>
      </c>
      <c r="N482" s="1190">
        <f>+N483</f>
        <v>10000000</v>
      </c>
      <c r="O482" s="1194">
        <f t="shared" si="387"/>
        <v>50</v>
      </c>
      <c r="P482" s="1040">
        <f>+P483</f>
        <v>0</v>
      </c>
      <c r="Q482" s="1194">
        <f t="shared" si="390"/>
        <v>0</v>
      </c>
      <c r="R482" s="1040">
        <f t="shared" si="397"/>
        <v>-10000000</v>
      </c>
      <c r="S482" s="2855"/>
      <c r="T482" s="537"/>
    </row>
    <row r="483" spans="1:20" ht="13.5" customHeight="1" x14ac:dyDescent="0.2">
      <c r="A483" s="2810"/>
      <c r="B483" s="819" t="s">
        <v>18</v>
      </c>
      <c r="C483" s="2771" t="s">
        <v>41</v>
      </c>
      <c r="D483" s="1195">
        <f>SUM(D484:D486)</f>
        <v>20000000</v>
      </c>
      <c r="E483" s="1196">
        <v>0</v>
      </c>
      <c r="F483" s="1197">
        <f>SUM(F484:F486)</f>
        <v>10000000</v>
      </c>
      <c r="G483" s="1197">
        <f>SUM(G484:G486)</f>
        <v>10000000</v>
      </c>
      <c r="H483" s="854">
        <f>SUM(H484:H486)</f>
        <v>0</v>
      </c>
      <c r="I483" s="1198">
        <f>SUM(I484:I486)</f>
        <v>20000000</v>
      </c>
      <c r="J483" s="853">
        <v>0</v>
      </c>
      <c r="K483" s="1199">
        <f>SUM(K484:K486)</f>
        <v>10000000</v>
      </c>
      <c r="L483" s="1200">
        <f>SUM(L484:L486)</f>
        <v>10000000</v>
      </c>
      <c r="M483" s="854">
        <f>SUM(M484:M486)</f>
        <v>0</v>
      </c>
      <c r="N483" s="1195">
        <f>+P483+K483+J483</f>
        <v>10000000</v>
      </c>
      <c r="O483" s="702">
        <f t="shared" si="387"/>
        <v>50</v>
      </c>
      <c r="P483" s="1201">
        <f>+P484+P485+P486</f>
        <v>0</v>
      </c>
      <c r="Q483" s="702">
        <f t="shared" si="390"/>
        <v>0</v>
      </c>
      <c r="R483" s="1201">
        <f t="shared" si="397"/>
        <v>-10000000</v>
      </c>
      <c r="S483" s="2855"/>
      <c r="T483" s="537"/>
    </row>
    <row r="484" spans="1:20" ht="13.5" customHeight="1" x14ac:dyDescent="0.2">
      <c r="A484" s="2810"/>
      <c r="B484" s="1202" t="s">
        <v>5</v>
      </c>
      <c r="C484" s="2771"/>
      <c r="D484" s="1203">
        <f t="shared" ref="D484:D490" si="416">SUM(E484:H484)</f>
        <v>4700000</v>
      </c>
      <c r="E484" s="1053">
        <v>0</v>
      </c>
      <c r="F484" s="1204">
        <v>2706250</v>
      </c>
      <c r="G484" s="1053">
        <v>1993750</v>
      </c>
      <c r="H484" s="873">
        <v>0</v>
      </c>
      <c r="I484" s="1205">
        <f t="shared" ref="I484:I490" si="417">SUM(J484:M484)</f>
        <v>4700000</v>
      </c>
      <c r="J484" s="735">
        <v>0</v>
      </c>
      <c r="K484" s="1206">
        <v>2706250</v>
      </c>
      <c r="L484" s="1203">
        <v>1993750</v>
      </c>
      <c r="M484" s="873">
        <v>0</v>
      </c>
      <c r="N484" s="1203">
        <f>+P484+K484+J484</f>
        <v>2706250</v>
      </c>
      <c r="O484" s="702">
        <f t="shared" si="387"/>
        <v>57.579787234042556</v>
      </c>
      <c r="P484" s="1055">
        <v>0</v>
      </c>
      <c r="Q484" s="702">
        <f t="shared" si="390"/>
        <v>0</v>
      </c>
      <c r="R484" s="1055">
        <f t="shared" si="397"/>
        <v>-1993750</v>
      </c>
      <c r="S484" s="2855"/>
      <c r="T484" s="537"/>
    </row>
    <row r="485" spans="1:20" ht="13.5" customHeight="1" x14ac:dyDescent="0.2">
      <c r="A485" s="2810"/>
      <c r="B485" s="1202" t="s">
        <v>106</v>
      </c>
      <c r="C485" s="2771"/>
      <c r="D485" s="1203">
        <f t="shared" si="416"/>
        <v>14587500</v>
      </c>
      <c r="E485" s="1053">
        <v>0</v>
      </c>
      <c r="F485" s="1204">
        <v>7293750</v>
      </c>
      <c r="G485" s="1053">
        <v>7293750</v>
      </c>
      <c r="H485" s="873">
        <v>0</v>
      </c>
      <c r="I485" s="1205">
        <f t="shared" si="417"/>
        <v>14587500</v>
      </c>
      <c r="J485" s="735">
        <v>0</v>
      </c>
      <c r="K485" s="1206">
        <v>7293750</v>
      </c>
      <c r="L485" s="1203">
        <v>7293750</v>
      </c>
      <c r="M485" s="873">
        <v>0</v>
      </c>
      <c r="N485" s="1203">
        <f>+P485+K485+J485</f>
        <v>7293750</v>
      </c>
      <c r="O485" s="702">
        <f t="shared" si="387"/>
        <v>50</v>
      </c>
      <c r="P485" s="1055">
        <v>0</v>
      </c>
      <c r="Q485" s="702">
        <f t="shared" si="390"/>
        <v>0</v>
      </c>
      <c r="R485" s="1055">
        <f t="shared" si="397"/>
        <v>-7293750</v>
      </c>
      <c r="S485" s="2855"/>
      <c r="T485" s="537"/>
    </row>
    <row r="486" spans="1:20" ht="12" customHeight="1" x14ac:dyDescent="0.2">
      <c r="A486" s="2810"/>
      <c r="B486" s="1207" t="s">
        <v>111</v>
      </c>
      <c r="C486" s="2863"/>
      <c r="D486" s="1203">
        <f t="shared" si="416"/>
        <v>712500</v>
      </c>
      <c r="E486" s="1053">
        <v>0</v>
      </c>
      <c r="F486" s="1204">
        <v>0</v>
      </c>
      <c r="G486" s="1204">
        <v>712500</v>
      </c>
      <c r="H486" s="736">
        <v>0</v>
      </c>
      <c r="I486" s="1205">
        <f t="shared" si="417"/>
        <v>712500</v>
      </c>
      <c r="J486" s="735">
        <v>0</v>
      </c>
      <c r="K486" s="1206">
        <v>0</v>
      </c>
      <c r="L486" s="1208">
        <v>712500</v>
      </c>
      <c r="M486" s="736">
        <v>0</v>
      </c>
      <c r="N486" s="1203">
        <f>+P486+K486+J486</f>
        <v>0</v>
      </c>
      <c r="O486" s="702">
        <f t="shared" si="387"/>
        <v>0</v>
      </c>
      <c r="P486" s="1055">
        <v>0</v>
      </c>
      <c r="Q486" s="702">
        <f t="shared" si="390"/>
        <v>0</v>
      </c>
      <c r="R486" s="1055">
        <f t="shared" si="397"/>
        <v>-712500</v>
      </c>
      <c r="S486" s="2855"/>
      <c r="T486" s="537"/>
    </row>
    <row r="487" spans="1:20" s="726" customFormat="1" ht="11.25" customHeight="1" x14ac:dyDescent="0.2">
      <c r="A487" s="2810"/>
      <c r="B487" s="565" t="s">
        <v>17</v>
      </c>
      <c r="C487" s="566"/>
      <c r="D487" s="849">
        <f t="shared" si="416"/>
        <v>15300000</v>
      </c>
      <c r="E487" s="828">
        <f>+E488</f>
        <v>712500</v>
      </c>
      <c r="F487" s="842">
        <f>+F488</f>
        <v>7293750</v>
      </c>
      <c r="G487" s="842">
        <f>+G488</f>
        <v>7293750</v>
      </c>
      <c r="H487" s="843">
        <f>+H488</f>
        <v>0</v>
      </c>
      <c r="I487" s="826">
        <f t="shared" si="417"/>
        <v>15300000</v>
      </c>
      <c r="J487" s="828">
        <f>+J488</f>
        <v>712500</v>
      </c>
      <c r="K487" s="875">
        <f>+K488</f>
        <v>7293750</v>
      </c>
      <c r="L487" s="1209">
        <f>+L488</f>
        <v>7293750</v>
      </c>
      <c r="M487" s="843">
        <f>+M488</f>
        <v>0</v>
      </c>
      <c r="N487" s="842">
        <f>+N488</f>
        <v>8006250</v>
      </c>
      <c r="O487" s="1210">
        <f t="shared" si="387"/>
        <v>52.328431372549019</v>
      </c>
      <c r="P487" s="828">
        <f>+P488</f>
        <v>0</v>
      </c>
      <c r="Q487" s="1210">
        <f t="shared" si="390"/>
        <v>0</v>
      </c>
      <c r="R487" s="1040">
        <f t="shared" si="397"/>
        <v>-7293750</v>
      </c>
      <c r="S487" s="2855"/>
      <c r="T487" s="537"/>
    </row>
    <row r="488" spans="1:20" s="877" customFormat="1" ht="12.75" customHeight="1" x14ac:dyDescent="0.2">
      <c r="A488" s="2811"/>
      <c r="B488" s="819" t="s">
        <v>18</v>
      </c>
      <c r="C488" s="2771" t="s">
        <v>41</v>
      </c>
      <c r="D488" s="811">
        <f t="shared" si="416"/>
        <v>15300000</v>
      </c>
      <c r="E488" s="775">
        <f>E489+E490</f>
        <v>712500</v>
      </c>
      <c r="F488" s="844">
        <f>F489+F490</f>
        <v>7293750</v>
      </c>
      <c r="G488" s="844">
        <f>G489+G490</f>
        <v>7293750</v>
      </c>
      <c r="H488" s="803">
        <f>H489+H490</f>
        <v>0</v>
      </c>
      <c r="I488" s="774">
        <f t="shared" si="417"/>
        <v>15300000</v>
      </c>
      <c r="J488" s="775">
        <f>J489+J490</f>
        <v>712500</v>
      </c>
      <c r="K488" s="1211">
        <f>K489+K490</f>
        <v>7293750</v>
      </c>
      <c r="L488" s="1212">
        <f>L489+L490</f>
        <v>7293750</v>
      </c>
      <c r="M488" s="803">
        <f>M489+M490</f>
        <v>0</v>
      </c>
      <c r="N488" s="775">
        <f>N489+N490</f>
        <v>8006250</v>
      </c>
      <c r="O488" s="1213">
        <f t="shared" si="387"/>
        <v>52.328431372549019</v>
      </c>
      <c r="P488" s="775">
        <f>+P489+P490</f>
        <v>0</v>
      </c>
      <c r="Q488" s="1213">
        <f t="shared" si="390"/>
        <v>0</v>
      </c>
      <c r="R488" s="1201">
        <f t="shared" si="397"/>
        <v>-7293750</v>
      </c>
      <c r="S488" s="2855"/>
      <c r="T488" s="537"/>
    </row>
    <row r="489" spans="1:20" s="877" customFormat="1" ht="12.75" customHeight="1" x14ac:dyDescent="0.2">
      <c r="A489" s="2811"/>
      <c r="B489" s="1202" t="s">
        <v>106</v>
      </c>
      <c r="C489" s="2771"/>
      <c r="D489" s="1203">
        <f t="shared" si="416"/>
        <v>14587500</v>
      </c>
      <c r="E489" s="1204">
        <v>0</v>
      </c>
      <c r="F489" s="1204">
        <v>7293750</v>
      </c>
      <c r="G489" s="1204">
        <v>7293750</v>
      </c>
      <c r="H489" s="736">
        <v>0</v>
      </c>
      <c r="I489" s="1205">
        <f t="shared" si="417"/>
        <v>14587500</v>
      </c>
      <c r="J489" s="1204">
        <v>0</v>
      </c>
      <c r="K489" s="1206">
        <v>7293750</v>
      </c>
      <c r="L489" s="1208">
        <v>7293750</v>
      </c>
      <c r="M489" s="736">
        <v>0</v>
      </c>
      <c r="N489" s="1203">
        <f>+P489+K489+J489</f>
        <v>7293750</v>
      </c>
      <c r="O489" s="702">
        <f t="shared" si="387"/>
        <v>50</v>
      </c>
      <c r="P489" s="1204">
        <v>0</v>
      </c>
      <c r="Q489" s="702">
        <f t="shared" si="390"/>
        <v>0</v>
      </c>
      <c r="R489" s="1055">
        <f t="shared" si="397"/>
        <v>-7293750</v>
      </c>
      <c r="S489" s="2855"/>
      <c r="T489" s="537"/>
    </row>
    <row r="490" spans="1:20" s="877" customFormat="1" ht="13.5" customHeight="1" thickBot="1" x14ac:dyDescent="0.25">
      <c r="A490" s="2812"/>
      <c r="B490" s="1214" t="s">
        <v>111</v>
      </c>
      <c r="C490" s="2896"/>
      <c r="D490" s="1203">
        <f t="shared" si="416"/>
        <v>712500</v>
      </c>
      <c r="E490" s="1203">
        <v>712500</v>
      </c>
      <c r="F490" s="1204">
        <v>0</v>
      </c>
      <c r="G490" s="1215">
        <v>0</v>
      </c>
      <c r="H490" s="806">
        <v>0</v>
      </c>
      <c r="I490" s="1205">
        <f t="shared" si="417"/>
        <v>712500</v>
      </c>
      <c r="J490" s="1203">
        <v>712500</v>
      </c>
      <c r="K490" s="761">
        <v>0</v>
      </c>
      <c r="L490" s="1216">
        <v>0</v>
      </c>
      <c r="M490" s="806">
        <v>0</v>
      </c>
      <c r="N490" s="1203">
        <f>+P490+K490+J490</f>
        <v>712500</v>
      </c>
      <c r="O490" s="702">
        <f t="shared" si="387"/>
        <v>100</v>
      </c>
      <c r="P490" s="1217">
        <v>0</v>
      </c>
      <c r="Q490" s="698">
        <v>0</v>
      </c>
      <c r="R490" s="1055">
        <f t="shared" si="397"/>
        <v>0</v>
      </c>
      <c r="S490" s="2901"/>
      <c r="T490" s="537"/>
    </row>
    <row r="491" spans="1:20" ht="29.25" customHeight="1" x14ac:dyDescent="0.2">
      <c r="A491" s="2809" t="s">
        <v>43</v>
      </c>
      <c r="B491" s="675" t="s">
        <v>117</v>
      </c>
      <c r="C491" s="676" t="s">
        <v>225</v>
      </c>
      <c r="D491" s="724"/>
      <c r="E491" s="725"/>
      <c r="F491" s="678"/>
      <c r="G491" s="678"/>
      <c r="H491" s="679"/>
      <c r="I491" s="680"/>
      <c r="J491" s="678"/>
      <c r="K491" s="678"/>
      <c r="L491" s="678"/>
      <c r="M491" s="679"/>
      <c r="N491" s="680"/>
      <c r="O491" s="681"/>
      <c r="P491" s="678"/>
      <c r="Q491" s="681"/>
      <c r="R491" s="678"/>
      <c r="S491" s="2823" t="s">
        <v>118</v>
      </c>
      <c r="T491" s="537"/>
    </row>
    <row r="492" spans="1:20" ht="13.5" customHeight="1" x14ac:dyDescent="0.2">
      <c r="A492" s="2810"/>
      <c r="B492" s="565" t="s">
        <v>3</v>
      </c>
      <c r="C492" s="566"/>
      <c r="D492" s="817">
        <f>SUM(D494:D494)</f>
        <v>10262346</v>
      </c>
      <c r="E492" s="815">
        <f>SUM(E494:E494)</f>
        <v>422730</v>
      </c>
      <c r="F492" s="815">
        <f>SUM(F494:F494)</f>
        <v>9839616</v>
      </c>
      <c r="G492" s="851">
        <f t="shared" ref="G492:H493" si="418">+G493</f>
        <v>0</v>
      </c>
      <c r="H492" s="852">
        <f t="shared" si="418"/>
        <v>0</v>
      </c>
      <c r="I492" s="817">
        <f>SUM(I494:I494)</f>
        <v>10262346</v>
      </c>
      <c r="J492" s="815">
        <f>SUM(J494:J494)</f>
        <v>422730</v>
      </c>
      <c r="K492" s="815">
        <f>SUM(K494:K494)</f>
        <v>9839616</v>
      </c>
      <c r="L492" s="851">
        <f t="shared" ref="L492:N493" si="419">+L493</f>
        <v>0</v>
      </c>
      <c r="M492" s="852">
        <f t="shared" si="419"/>
        <v>0</v>
      </c>
      <c r="N492" s="920">
        <f t="shared" si="419"/>
        <v>10262346</v>
      </c>
      <c r="O492" s="924">
        <f t="shared" si="387"/>
        <v>100</v>
      </c>
      <c r="P492" s="922">
        <f>SUM(P494:P494)</f>
        <v>0</v>
      </c>
      <c r="Q492" s="922">
        <v>0</v>
      </c>
      <c r="R492" s="921">
        <f t="shared" si="397"/>
        <v>0</v>
      </c>
      <c r="S492" s="2824"/>
      <c r="T492" s="537"/>
    </row>
    <row r="493" spans="1:20" ht="13.5" customHeight="1" x14ac:dyDescent="0.2">
      <c r="A493" s="2810"/>
      <c r="B493" s="819" t="s">
        <v>18</v>
      </c>
      <c r="C493" s="2771" t="s">
        <v>46</v>
      </c>
      <c r="D493" s="820">
        <f>+D494</f>
        <v>10262346</v>
      </c>
      <c r="E493" s="821">
        <f>+E494</f>
        <v>422730</v>
      </c>
      <c r="F493" s="821">
        <f>+F494</f>
        <v>9839616</v>
      </c>
      <c r="G493" s="853">
        <f t="shared" si="418"/>
        <v>0</v>
      </c>
      <c r="H493" s="854">
        <f t="shared" si="418"/>
        <v>0</v>
      </c>
      <c r="I493" s="820">
        <f>+I494</f>
        <v>10262346</v>
      </c>
      <c r="J493" s="821">
        <f>+J494</f>
        <v>422730</v>
      </c>
      <c r="K493" s="821">
        <f>+K494</f>
        <v>9839616</v>
      </c>
      <c r="L493" s="853">
        <f t="shared" si="419"/>
        <v>0</v>
      </c>
      <c r="M493" s="854">
        <f t="shared" si="419"/>
        <v>0</v>
      </c>
      <c r="N493" s="1112">
        <f t="shared" si="419"/>
        <v>10262346</v>
      </c>
      <c r="O493" s="1113">
        <f t="shared" si="387"/>
        <v>100</v>
      </c>
      <c r="P493" s="1110">
        <f>+P494</f>
        <v>0</v>
      </c>
      <c r="Q493" s="1110">
        <v>0</v>
      </c>
      <c r="R493" s="1109">
        <f t="shared" si="397"/>
        <v>0</v>
      </c>
      <c r="S493" s="2824"/>
      <c r="T493" s="537"/>
    </row>
    <row r="494" spans="1:20" ht="13.5" customHeight="1" thickBot="1" x14ac:dyDescent="0.25">
      <c r="A494" s="2819"/>
      <c r="B494" s="780" t="s">
        <v>5</v>
      </c>
      <c r="C494" s="2818"/>
      <c r="D494" s="718">
        <f>+E494+F494+G494+H494</f>
        <v>10262346</v>
      </c>
      <c r="E494" s="720">
        <f>422730-163724+163724</f>
        <v>422730</v>
      </c>
      <c r="F494" s="720">
        <v>9839616</v>
      </c>
      <c r="G494" s="719">
        <v>0</v>
      </c>
      <c r="H494" s="850">
        <v>0</v>
      </c>
      <c r="I494" s="718">
        <f>+J494+K494+L494+M494</f>
        <v>10262346</v>
      </c>
      <c r="J494" s="720">
        <f>422730-163724+163724</f>
        <v>422730</v>
      </c>
      <c r="K494" s="786">
        <v>9839616</v>
      </c>
      <c r="L494" s="719">
        <v>0</v>
      </c>
      <c r="M494" s="850">
        <v>0</v>
      </c>
      <c r="N494" s="722">
        <f>J494+K494+P494</f>
        <v>10262346</v>
      </c>
      <c r="O494" s="723">
        <f t="shared" si="387"/>
        <v>100</v>
      </c>
      <c r="P494" s="719">
        <v>0</v>
      </c>
      <c r="Q494" s="719">
        <v>0</v>
      </c>
      <c r="R494" s="720">
        <f t="shared" si="397"/>
        <v>0</v>
      </c>
      <c r="S494" s="2841"/>
      <c r="T494" s="537"/>
    </row>
    <row r="495" spans="1:20" ht="41.25" customHeight="1" x14ac:dyDescent="0.2">
      <c r="A495" s="2828" t="s">
        <v>48</v>
      </c>
      <c r="B495" s="675" t="s">
        <v>345</v>
      </c>
      <c r="C495" s="1218" t="s">
        <v>225</v>
      </c>
      <c r="D495" s="1219"/>
      <c r="E495" s="863"/>
      <c r="F495" s="1186"/>
      <c r="G495" s="863"/>
      <c r="H495" s="1186"/>
      <c r="I495" s="862"/>
      <c r="J495" s="863"/>
      <c r="K495" s="863"/>
      <c r="L495" s="863"/>
      <c r="M495" s="1220"/>
      <c r="N495" s="680"/>
      <c r="O495" s="681"/>
      <c r="P495" s="678"/>
      <c r="Q495" s="681"/>
      <c r="R495" s="841"/>
      <c r="S495" s="2823" t="s">
        <v>109</v>
      </c>
      <c r="T495" s="537"/>
    </row>
    <row r="496" spans="1:20" ht="13.5" customHeight="1" x14ac:dyDescent="0.2">
      <c r="A496" s="2829"/>
      <c r="B496" s="565" t="s">
        <v>3</v>
      </c>
      <c r="C496" s="566"/>
      <c r="D496" s="1221">
        <f t="shared" ref="D496:N496" si="420">+D497</f>
        <v>4267201</v>
      </c>
      <c r="E496" s="1222">
        <f t="shared" si="420"/>
        <v>4161421</v>
      </c>
      <c r="F496" s="1222">
        <f t="shared" si="420"/>
        <v>105780</v>
      </c>
      <c r="G496" s="851">
        <f t="shared" si="420"/>
        <v>0</v>
      </c>
      <c r="H496" s="1223">
        <f t="shared" si="420"/>
        <v>0</v>
      </c>
      <c r="I496" s="1221">
        <f t="shared" si="420"/>
        <v>4267201</v>
      </c>
      <c r="J496" s="1222">
        <f t="shared" si="420"/>
        <v>4161421</v>
      </c>
      <c r="K496" s="1222">
        <f t="shared" si="420"/>
        <v>105780</v>
      </c>
      <c r="L496" s="851">
        <f t="shared" si="420"/>
        <v>0</v>
      </c>
      <c r="M496" s="918">
        <f t="shared" si="420"/>
        <v>0</v>
      </c>
      <c r="N496" s="817">
        <f t="shared" si="420"/>
        <v>4267201</v>
      </c>
      <c r="O496" s="1224">
        <f t="shared" si="387"/>
        <v>100</v>
      </c>
      <c r="P496" s="851">
        <f>+P497</f>
        <v>0</v>
      </c>
      <c r="Q496" s="1225">
        <v>0</v>
      </c>
      <c r="R496" s="1222">
        <f t="shared" si="397"/>
        <v>0</v>
      </c>
      <c r="S496" s="2899"/>
      <c r="T496" s="537"/>
    </row>
    <row r="497" spans="1:135" ht="13.5" customHeight="1" x14ac:dyDescent="0.2">
      <c r="A497" s="2829"/>
      <c r="B497" s="819" t="s">
        <v>18</v>
      </c>
      <c r="C497" s="2771" t="s">
        <v>119</v>
      </c>
      <c r="D497" s="1226">
        <f>+D498+D499</f>
        <v>4267201</v>
      </c>
      <c r="E497" s="1227">
        <f>+E498+E499</f>
        <v>4161421</v>
      </c>
      <c r="F497" s="1227">
        <f>++F498+F499</f>
        <v>105780</v>
      </c>
      <c r="G497" s="853">
        <f>++G498+G499</f>
        <v>0</v>
      </c>
      <c r="H497" s="1228">
        <f>++H498+H499</f>
        <v>0</v>
      </c>
      <c r="I497" s="1226">
        <f>+I498+I499</f>
        <v>4267201</v>
      </c>
      <c r="J497" s="1227">
        <f>+J498+J499</f>
        <v>4161421</v>
      </c>
      <c r="K497" s="1227">
        <f>++K498+K499</f>
        <v>105780</v>
      </c>
      <c r="L497" s="853">
        <f>++L498+L499</f>
        <v>0</v>
      </c>
      <c r="M497" s="919">
        <f>++M498+M499</f>
        <v>0</v>
      </c>
      <c r="N497" s="820">
        <f>+N498+N499</f>
        <v>4267201</v>
      </c>
      <c r="O497" s="1229">
        <f t="shared" si="387"/>
        <v>100</v>
      </c>
      <c r="P497" s="853">
        <f>+P498+P499</f>
        <v>0</v>
      </c>
      <c r="Q497" s="1230">
        <v>0</v>
      </c>
      <c r="R497" s="1227">
        <f t="shared" si="397"/>
        <v>0</v>
      </c>
      <c r="S497" s="2899"/>
      <c r="T497" s="537"/>
    </row>
    <row r="498" spans="1:135" ht="13.5" customHeight="1" x14ac:dyDescent="0.2">
      <c r="A498" s="2829"/>
      <c r="B498" s="696" t="s">
        <v>5</v>
      </c>
      <c r="C498" s="2816"/>
      <c r="D498" s="1231">
        <f>+E498+F498+G498+H498</f>
        <v>1422974</v>
      </c>
      <c r="E498" s="1232">
        <f>139894+1247247</f>
        <v>1387141</v>
      </c>
      <c r="F498" s="1232">
        <v>35833</v>
      </c>
      <c r="G498" s="809">
        <v>0</v>
      </c>
      <c r="H498" s="809">
        <v>0</v>
      </c>
      <c r="I498" s="1231">
        <f>+J498+K498+L498+M498</f>
        <v>1422974</v>
      </c>
      <c r="J498" s="1232">
        <f>139894+1247247</f>
        <v>1387141</v>
      </c>
      <c r="K498" s="1232">
        <v>35833</v>
      </c>
      <c r="L498" s="809">
        <v>0</v>
      </c>
      <c r="M498" s="810">
        <v>0</v>
      </c>
      <c r="N498" s="697">
        <f>+P498+K498+J498</f>
        <v>1422974</v>
      </c>
      <c r="O498" s="1233">
        <f t="shared" si="387"/>
        <v>100</v>
      </c>
      <c r="P498" s="809">
        <v>0</v>
      </c>
      <c r="Q498" s="1234">
        <v>0</v>
      </c>
      <c r="R498" s="1232">
        <f t="shared" si="397"/>
        <v>0</v>
      </c>
      <c r="S498" s="2899"/>
      <c r="T498" s="537"/>
    </row>
    <row r="499" spans="1:135" ht="13.5" customHeight="1" x14ac:dyDescent="0.2">
      <c r="A499" s="2829"/>
      <c r="B499" s="696" t="s">
        <v>66</v>
      </c>
      <c r="C499" s="2816"/>
      <c r="D499" s="1231">
        <f>+E499+F499+G499+H499</f>
        <v>2844227</v>
      </c>
      <c r="E499" s="1232">
        <f>279786+2494494</f>
        <v>2774280</v>
      </c>
      <c r="F499" s="1232">
        <v>69947</v>
      </c>
      <c r="G499" s="809">
        <v>0</v>
      </c>
      <c r="H499" s="1235">
        <v>0</v>
      </c>
      <c r="I499" s="1231">
        <f>+J499+K499+L499+M499</f>
        <v>2844227</v>
      </c>
      <c r="J499" s="1232">
        <f>279786+2494494</f>
        <v>2774280</v>
      </c>
      <c r="K499" s="1232">
        <v>69947</v>
      </c>
      <c r="L499" s="809">
        <v>0</v>
      </c>
      <c r="M499" s="1236">
        <v>0</v>
      </c>
      <c r="N499" s="697">
        <f>+P499+K499+J499</f>
        <v>2844227</v>
      </c>
      <c r="O499" s="1233">
        <f t="shared" si="387"/>
        <v>100</v>
      </c>
      <c r="P499" s="809">
        <v>0</v>
      </c>
      <c r="Q499" s="1234">
        <v>0</v>
      </c>
      <c r="R499" s="1232">
        <f t="shared" si="397"/>
        <v>0</v>
      </c>
      <c r="S499" s="2899"/>
      <c r="T499" s="537"/>
    </row>
    <row r="500" spans="1:135" s="726" customFormat="1" ht="12.75" customHeight="1" x14ac:dyDescent="0.2">
      <c r="A500" s="2897"/>
      <c r="B500" s="565" t="s">
        <v>17</v>
      </c>
      <c r="C500" s="566"/>
      <c r="D500" s="1221">
        <f>+D501</f>
        <v>2844227</v>
      </c>
      <c r="E500" s="1222">
        <v>279786</v>
      </c>
      <c r="F500" s="1222">
        <f t="shared" ref="F500:H501" si="421">+F501</f>
        <v>69947</v>
      </c>
      <c r="G500" s="851">
        <f t="shared" si="421"/>
        <v>0</v>
      </c>
      <c r="H500" s="1223">
        <f t="shared" si="421"/>
        <v>0</v>
      </c>
      <c r="I500" s="1221">
        <f>+I501</f>
        <v>2844227</v>
      </c>
      <c r="J500" s="1222">
        <v>279786</v>
      </c>
      <c r="K500" s="1222">
        <f t="shared" ref="K500:M501" si="422">+K501</f>
        <v>69947</v>
      </c>
      <c r="L500" s="851">
        <f t="shared" si="422"/>
        <v>0</v>
      </c>
      <c r="M500" s="918">
        <f t="shared" si="422"/>
        <v>0</v>
      </c>
      <c r="N500" s="817">
        <f>+N501</f>
        <v>349733</v>
      </c>
      <c r="O500" s="1224">
        <f t="shared" si="387"/>
        <v>12.296240771218331</v>
      </c>
      <c r="P500" s="851">
        <f>+P501</f>
        <v>0</v>
      </c>
      <c r="Q500" s="1225">
        <v>0</v>
      </c>
      <c r="R500" s="1222">
        <f t="shared" si="397"/>
        <v>0</v>
      </c>
      <c r="S500" s="2899"/>
      <c r="T500" s="537"/>
    </row>
    <row r="501" spans="1:135" ht="13.5" customHeight="1" x14ac:dyDescent="0.2">
      <c r="A501" s="2897"/>
      <c r="B501" s="925" t="s">
        <v>18</v>
      </c>
      <c r="C501" s="2771" t="s">
        <v>119</v>
      </c>
      <c r="D501" s="1226">
        <f>+D502</f>
        <v>2844227</v>
      </c>
      <c r="E501" s="1227">
        <v>279786</v>
      </c>
      <c r="F501" s="1227">
        <f t="shared" si="421"/>
        <v>69947</v>
      </c>
      <c r="G501" s="853">
        <f t="shared" si="421"/>
        <v>0</v>
      </c>
      <c r="H501" s="1228">
        <f t="shared" si="421"/>
        <v>0</v>
      </c>
      <c r="I501" s="1226">
        <f>+I502</f>
        <v>2844227</v>
      </c>
      <c r="J501" s="1227">
        <v>279786</v>
      </c>
      <c r="K501" s="1227">
        <f t="shared" si="422"/>
        <v>69947</v>
      </c>
      <c r="L501" s="853">
        <f t="shared" si="422"/>
        <v>0</v>
      </c>
      <c r="M501" s="919">
        <f t="shared" si="422"/>
        <v>0</v>
      </c>
      <c r="N501" s="820">
        <f>+P501+K501+J501</f>
        <v>349733</v>
      </c>
      <c r="O501" s="1229">
        <f t="shared" si="387"/>
        <v>12.296240771218331</v>
      </c>
      <c r="P501" s="853">
        <f>+P502</f>
        <v>0</v>
      </c>
      <c r="Q501" s="1230">
        <v>0</v>
      </c>
      <c r="R501" s="1227">
        <f t="shared" si="397"/>
        <v>0</v>
      </c>
      <c r="S501" s="2899"/>
      <c r="T501" s="537"/>
    </row>
    <row r="502" spans="1:135" ht="13.5" customHeight="1" thickBot="1" x14ac:dyDescent="0.25">
      <c r="A502" s="2898"/>
      <c r="B502" s="780" t="s">
        <v>66</v>
      </c>
      <c r="C502" s="2818"/>
      <c r="D502" s="1237">
        <f>+E502+F502+G502+H502</f>
        <v>2844227</v>
      </c>
      <c r="E502" s="1238">
        <f>279786+2494494</f>
        <v>2774280</v>
      </c>
      <c r="F502" s="1238">
        <v>69947</v>
      </c>
      <c r="G502" s="804">
        <v>0</v>
      </c>
      <c r="H502" s="1239">
        <v>0</v>
      </c>
      <c r="I502" s="1237">
        <f>+J502+K502+L502+M502</f>
        <v>2844227</v>
      </c>
      <c r="J502" s="1238">
        <f>279786+2494494</f>
        <v>2774280</v>
      </c>
      <c r="K502" s="1238">
        <v>69947</v>
      </c>
      <c r="L502" s="804">
        <v>0</v>
      </c>
      <c r="M502" s="1240">
        <v>0</v>
      </c>
      <c r="N502" s="784">
        <f>+P502+K502+J502</f>
        <v>2844227</v>
      </c>
      <c r="O502" s="1241">
        <f t="shared" si="387"/>
        <v>100</v>
      </c>
      <c r="P502" s="804">
        <v>0</v>
      </c>
      <c r="Q502" s="719">
        <v>0</v>
      </c>
      <c r="R502" s="1238">
        <f t="shared" si="397"/>
        <v>0</v>
      </c>
      <c r="S502" s="2900"/>
      <c r="T502" s="537"/>
    </row>
    <row r="503" spans="1:135" s="1243" customFormat="1" ht="25.5" customHeight="1" x14ac:dyDescent="0.2">
      <c r="A503" s="2903" t="s">
        <v>49</v>
      </c>
      <c r="B503" s="892" t="s">
        <v>120</v>
      </c>
      <c r="C503" s="1218" t="s">
        <v>225</v>
      </c>
      <c r="D503" s="1186"/>
      <c r="E503" s="1186"/>
      <c r="F503" s="1186"/>
      <c r="G503" s="1186"/>
      <c r="H503" s="1186"/>
      <c r="I503" s="862"/>
      <c r="J503" s="863"/>
      <c r="K503" s="863"/>
      <c r="L503" s="863"/>
      <c r="M503" s="1220"/>
      <c r="N503" s="680"/>
      <c r="O503" s="681"/>
      <c r="P503" s="678"/>
      <c r="Q503" s="681"/>
      <c r="R503" s="678"/>
      <c r="S503" s="2768" t="s">
        <v>118</v>
      </c>
      <c r="T503" s="537"/>
      <c r="U503" s="1242"/>
      <c r="V503" s="1242"/>
      <c r="W503" s="1242"/>
      <c r="X503" s="1242"/>
      <c r="Y503" s="1242"/>
      <c r="Z503" s="1242"/>
      <c r="AA503" s="1242"/>
      <c r="AB503" s="1242"/>
      <c r="AC503" s="1242"/>
      <c r="AD503" s="1242"/>
      <c r="AE503" s="1242"/>
      <c r="AF503" s="1242"/>
      <c r="AG503" s="1242"/>
      <c r="AH503" s="1242"/>
      <c r="AI503" s="1242"/>
      <c r="AJ503" s="1242"/>
      <c r="AK503" s="1242"/>
      <c r="AL503" s="1242"/>
      <c r="AM503" s="1242"/>
      <c r="AN503" s="1242"/>
      <c r="AO503" s="1242"/>
      <c r="AP503" s="1242"/>
      <c r="AQ503" s="1242"/>
      <c r="AR503" s="1242"/>
      <c r="AS503" s="1242"/>
      <c r="AT503" s="1242"/>
      <c r="AU503" s="1242"/>
      <c r="AV503" s="1242"/>
      <c r="AW503" s="1242"/>
      <c r="AX503" s="1242"/>
      <c r="AY503" s="1242"/>
      <c r="AZ503" s="1242"/>
      <c r="BA503" s="1242"/>
      <c r="BB503" s="1242"/>
      <c r="BC503" s="1242"/>
      <c r="BD503" s="1242"/>
      <c r="BE503" s="1242"/>
      <c r="BF503" s="1242"/>
      <c r="BG503" s="1242"/>
      <c r="BH503" s="1242"/>
      <c r="BI503" s="1242"/>
      <c r="BJ503" s="1242"/>
      <c r="BK503" s="1242"/>
      <c r="BL503" s="1242"/>
      <c r="BM503" s="1242"/>
      <c r="BN503" s="1242"/>
      <c r="BO503" s="1242"/>
      <c r="BP503" s="1242"/>
      <c r="BQ503" s="1242"/>
      <c r="BR503" s="1242"/>
      <c r="BS503" s="1242"/>
      <c r="BT503" s="1242"/>
      <c r="BU503" s="1242"/>
      <c r="BV503" s="1242"/>
      <c r="BW503" s="1242"/>
      <c r="BX503" s="1242"/>
      <c r="BY503" s="1242"/>
      <c r="BZ503" s="1242"/>
      <c r="CA503" s="1242"/>
      <c r="CB503" s="1242"/>
      <c r="CC503" s="1242"/>
      <c r="CD503" s="1242"/>
      <c r="CE503" s="1242"/>
      <c r="CF503" s="1242"/>
      <c r="CG503" s="1242"/>
      <c r="CH503" s="1242"/>
      <c r="CI503" s="1242"/>
      <c r="CJ503" s="1242"/>
      <c r="CK503" s="1242"/>
      <c r="CL503" s="1242"/>
      <c r="CM503" s="1242"/>
      <c r="CN503" s="1242"/>
      <c r="CO503" s="1242"/>
      <c r="CP503" s="1242"/>
      <c r="CQ503" s="1242"/>
      <c r="CR503" s="1242"/>
      <c r="CS503" s="1242"/>
      <c r="CT503" s="1242"/>
      <c r="CU503" s="1242"/>
      <c r="CV503" s="1242"/>
      <c r="CW503" s="1242"/>
      <c r="CX503" s="1242"/>
      <c r="CY503" s="1242"/>
      <c r="CZ503" s="1242"/>
      <c r="DA503" s="1242"/>
      <c r="DB503" s="1242"/>
      <c r="DC503" s="1242"/>
      <c r="DD503" s="1242"/>
      <c r="DE503" s="1242"/>
      <c r="DF503" s="1242"/>
      <c r="DG503" s="1242"/>
      <c r="DH503" s="1242"/>
      <c r="DI503" s="1242"/>
      <c r="DJ503" s="1242"/>
      <c r="DK503" s="1242"/>
      <c r="DL503" s="1242"/>
      <c r="DM503" s="1242"/>
      <c r="DN503" s="1242"/>
      <c r="DO503" s="1242"/>
      <c r="DP503" s="1242"/>
      <c r="DQ503" s="1242"/>
      <c r="DR503" s="1242"/>
      <c r="DS503" s="1242"/>
      <c r="DT503" s="1242"/>
      <c r="DU503" s="1242"/>
      <c r="DV503" s="1242"/>
      <c r="DW503" s="1242"/>
      <c r="DX503" s="1242"/>
      <c r="DY503" s="1242"/>
      <c r="DZ503" s="1242"/>
      <c r="EA503" s="1242"/>
      <c r="EB503" s="1242"/>
      <c r="EC503" s="1242"/>
      <c r="ED503" s="1242"/>
      <c r="EE503" s="1242"/>
    </row>
    <row r="504" spans="1:135" s="1242" customFormat="1" ht="12.75" customHeight="1" x14ac:dyDescent="0.2">
      <c r="A504" s="2904"/>
      <c r="B504" s="565" t="s">
        <v>3</v>
      </c>
      <c r="C504" s="566"/>
      <c r="D504" s="1244">
        <f>SUM(D506:D506)</f>
        <v>8226030</v>
      </c>
      <c r="E504" s="1191">
        <f>SUM(E506:E506)</f>
        <v>901733</v>
      </c>
      <c r="F504" s="1191">
        <f>SUM(F506:F506)</f>
        <v>415162</v>
      </c>
      <c r="G504" s="1191">
        <f>SUM(G506:G506)</f>
        <v>1216468</v>
      </c>
      <c r="H504" s="1071">
        <f>+H505</f>
        <v>5692667</v>
      </c>
      <c r="I504" s="1244">
        <f>SUM(I506:I506)</f>
        <v>8226030</v>
      </c>
      <c r="J504" s="1191">
        <f>SUM(J506:J506)</f>
        <v>901733</v>
      </c>
      <c r="K504" s="1191">
        <f>SUM(K506:K506)</f>
        <v>415162</v>
      </c>
      <c r="L504" s="1191">
        <f>SUM(L506:L506)</f>
        <v>1216468</v>
      </c>
      <c r="M504" s="1071">
        <f>+M505</f>
        <v>5692667</v>
      </c>
      <c r="N504" s="1039">
        <f>+N505</f>
        <v>1343895</v>
      </c>
      <c r="O504" s="1245">
        <f t="shared" si="387"/>
        <v>16.337103074022341</v>
      </c>
      <c r="P504" s="1040">
        <f>SUM(P506:P506)</f>
        <v>27000</v>
      </c>
      <c r="Q504" s="1245">
        <f t="shared" si="390"/>
        <v>2.2195405057921787</v>
      </c>
      <c r="R504" s="1040">
        <f t="shared" si="397"/>
        <v>-1189468</v>
      </c>
      <c r="S504" s="2769"/>
      <c r="T504" s="537"/>
    </row>
    <row r="505" spans="1:135" s="1242" customFormat="1" ht="13.5" customHeight="1" x14ac:dyDescent="0.2">
      <c r="A505" s="2904"/>
      <c r="B505" s="925" t="s">
        <v>18</v>
      </c>
      <c r="C505" s="2771" t="s">
        <v>46</v>
      </c>
      <c r="D505" s="1246">
        <f>+D506</f>
        <v>8226030</v>
      </c>
      <c r="E505" s="1197">
        <f>+E506</f>
        <v>901733</v>
      </c>
      <c r="F505" s="1197">
        <f>+F506</f>
        <v>415162</v>
      </c>
      <c r="G505" s="1197">
        <f>+G506</f>
        <v>1216468</v>
      </c>
      <c r="H505" s="1247">
        <f>+H506</f>
        <v>5692667</v>
      </c>
      <c r="I505" s="1246">
        <f>+I506</f>
        <v>8226030</v>
      </c>
      <c r="J505" s="1197">
        <f>+J506</f>
        <v>901733</v>
      </c>
      <c r="K505" s="1197">
        <f>+K506</f>
        <v>415162</v>
      </c>
      <c r="L505" s="1197">
        <f>+L506</f>
        <v>1216468</v>
      </c>
      <c r="M505" s="1247">
        <f>+M506</f>
        <v>5692667</v>
      </c>
      <c r="N505" s="1198">
        <f>+N506</f>
        <v>1343895</v>
      </c>
      <c r="O505" s="1248">
        <f t="shared" si="387"/>
        <v>16.337103074022341</v>
      </c>
      <c r="P505" s="1196">
        <f>+P506</f>
        <v>27000</v>
      </c>
      <c r="Q505" s="1248">
        <f t="shared" si="390"/>
        <v>2.2195405057921787</v>
      </c>
      <c r="R505" s="1196">
        <f t="shared" si="397"/>
        <v>-1189468</v>
      </c>
      <c r="S505" s="2769"/>
      <c r="T505" s="537"/>
    </row>
    <row r="506" spans="1:135" s="1242" customFormat="1" ht="14.25" customHeight="1" thickBot="1" x14ac:dyDescent="0.25">
      <c r="A506" s="2905"/>
      <c r="B506" s="780" t="s">
        <v>5</v>
      </c>
      <c r="C506" s="2818"/>
      <c r="D506" s="1237">
        <f>+E506+F506+G506+H506</f>
        <v>8226030</v>
      </c>
      <c r="E506" s="1238">
        <v>901733</v>
      </c>
      <c r="F506" s="1238">
        <v>415162</v>
      </c>
      <c r="G506" s="1238">
        <v>1216468</v>
      </c>
      <c r="H506" s="1249">
        <f>1896334+1896333+1900000</f>
        <v>5692667</v>
      </c>
      <c r="I506" s="1237">
        <f>+J506+K506+L506+M506</f>
        <v>8226030</v>
      </c>
      <c r="J506" s="1238">
        <v>901733</v>
      </c>
      <c r="K506" s="1238">
        <v>415162</v>
      </c>
      <c r="L506" s="1238">
        <v>1216468</v>
      </c>
      <c r="M506" s="1249">
        <f>1896334+1896333+1900000</f>
        <v>5692667</v>
      </c>
      <c r="N506" s="718">
        <f>J506+K506+P506</f>
        <v>1343895</v>
      </c>
      <c r="O506" s="1250">
        <f t="shared" si="387"/>
        <v>16.337103074022341</v>
      </c>
      <c r="P506" s="805">
        <v>27000</v>
      </c>
      <c r="Q506" s="1250">
        <f t="shared" si="390"/>
        <v>2.2195405057921787</v>
      </c>
      <c r="R506" s="805">
        <f t="shared" si="397"/>
        <v>-1189468</v>
      </c>
      <c r="S506" s="2770"/>
      <c r="T506" s="537"/>
    </row>
    <row r="507" spans="1:135" ht="30.75" customHeight="1" x14ac:dyDescent="0.2">
      <c r="A507" s="2906" t="s">
        <v>51</v>
      </c>
      <c r="B507" s="1182" t="s">
        <v>346</v>
      </c>
      <c r="C507" s="1218" t="s">
        <v>225</v>
      </c>
      <c r="D507" s="1184"/>
      <c r="E507" s="1185"/>
      <c r="F507" s="1185"/>
      <c r="G507" s="1185"/>
      <c r="H507" s="1187"/>
      <c r="I507" s="1184"/>
      <c r="J507" s="1185"/>
      <c r="K507" s="1185"/>
      <c r="L507" s="1185"/>
      <c r="M507" s="1187"/>
      <c r="N507" s="1184"/>
      <c r="O507" s="1189"/>
      <c r="P507" s="1185"/>
      <c r="Q507" s="1189"/>
      <c r="R507" s="1185"/>
      <c r="S507" s="2909" t="s">
        <v>121</v>
      </c>
      <c r="T507" s="537"/>
    </row>
    <row r="508" spans="1:135" x14ac:dyDescent="0.2">
      <c r="A508" s="2907"/>
      <c r="B508" s="879" t="s">
        <v>3</v>
      </c>
      <c r="C508" s="566"/>
      <c r="D508" s="1039">
        <f>+D509</f>
        <v>45610000</v>
      </c>
      <c r="E508" s="1040">
        <f t="shared" ref="E508:H509" si="423">+E509</f>
        <v>8900000</v>
      </c>
      <c r="F508" s="1040">
        <f t="shared" si="423"/>
        <v>3302000</v>
      </c>
      <c r="G508" s="1040">
        <f t="shared" si="423"/>
        <v>4202000</v>
      </c>
      <c r="H508" s="1071">
        <f t="shared" si="423"/>
        <v>29206000</v>
      </c>
      <c r="I508" s="1039">
        <f>+I509</f>
        <v>45609289</v>
      </c>
      <c r="J508" s="1040">
        <f t="shared" ref="J508:N509" si="424">+J509</f>
        <v>8900000</v>
      </c>
      <c r="K508" s="1040">
        <f t="shared" si="424"/>
        <v>3301289</v>
      </c>
      <c r="L508" s="1040">
        <f t="shared" si="424"/>
        <v>4202000</v>
      </c>
      <c r="M508" s="1071">
        <f t="shared" si="424"/>
        <v>29206000</v>
      </c>
      <c r="N508" s="1039">
        <f t="shared" si="424"/>
        <v>12201289</v>
      </c>
      <c r="O508" s="1194">
        <f t="shared" si="387"/>
        <v>26.751346196009646</v>
      </c>
      <c r="P508" s="1040">
        <f>+P509</f>
        <v>0</v>
      </c>
      <c r="Q508" s="1194">
        <f t="shared" si="390"/>
        <v>0</v>
      </c>
      <c r="R508" s="1040">
        <f t="shared" si="397"/>
        <v>-4202000</v>
      </c>
      <c r="S508" s="2910"/>
      <c r="T508" s="537"/>
    </row>
    <row r="509" spans="1:135" x14ac:dyDescent="0.2">
      <c r="A509" s="2907"/>
      <c r="B509" s="904" t="s">
        <v>18</v>
      </c>
      <c r="C509" s="2771" t="s">
        <v>119</v>
      </c>
      <c r="D509" s="1198">
        <f>+D510</f>
        <v>45610000</v>
      </c>
      <c r="E509" s="1196">
        <f t="shared" si="423"/>
        <v>8900000</v>
      </c>
      <c r="F509" s="1196">
        <f t="shared" si="423"/>
        <v>3302000</v>
      </c>
      <c r="G509" s="1196">
        <f t="shared" si="423"/>
        <v>4202000</v>
      </c>
      <c r="H509" s="1199">
        <f t="shared" si="423"/>
        <v>29206000</v>
      </c>
      <c r="I509" s="1198">
        <f>+I510</f>
        <v>45609289</v>
      </c>
      <c r="J509" s="1196">
        <f t="shared" si="424"/>
        <v>8900000</v>
      </c>
      <c r="K509" s="1201">
        <f t="shared" si="424"/>
        <v>3301289</v>
      </c>
      <c r="L509" s="1196">
        <f t="shared" si="424"/>
        <v>4202000</v>
      </c>
      <c r="M509" s="1199">
        <f t="shared" si="424"/>
        <v>29206000</v>
      </c>
      <c r="N509" s="1251">
        <f t="shared" si="424"/>
        <v>12201289</v>
      </c>
      <c r="O509" s="1252">
        <f t="shared" si="387"/>
        <v>26.751346196009646</v>
      </c>
      <c r="P509" s="1201">
        <f>+P510</f>
        <v>0</v>
      </c>
      <c r="Q509" s="1252">
        <f t="shared" si="390"/>
        <v>0</v>
      </c>
      <c r="R509" s="1196">
        <f t="shared" si="397"/>
        <v>-4202000</v>
      </c>
      <c r="S509" s="2910"/>
      <c r="T509" s="537"/>
    </row>
    <row r="510" spans="1:135" ht="13.5" thickBot="1" x14ac:dyDescent="0.25">
      <c r="A510" s="2908"/>
      <c r="B510" s="1253" t="s">
        <v>5</v>
      </c>
      <c r="C510" s="2896"/>
      <c r="D510" s="718">
        <f>+E510+F510+G510+H510</f>
        <v>45610000</v>
      </c>
      <c r="E510" s="720">
        <f>7100000+1800000</f>
        <v>8900000</v>
      </c>
      <c r="F510" s="1254">
        <v>3302000</v>
      </c>
      <c r="G510" s="1255">
        <v>4202000</v>
      </c>
      <c r="H510" s="1256">
        <f>33408000-4202000</f>
        <v>29206000</v>
      </c>
      <c r="I510" s="718">
        <f>+J510+K510+L510+M510</f>
        <v>45609289</v>
      </c>
      <c r="J510" s="720">
        <f>7100000+1800000</f>
        <v>8900000</v>
      </c>
      <c r="K510" s="1254">
        <v>3301289</v>
      </c>
      <c r="L510" s="1255">
        <v>4202000</v>
      </c>
      <c r="M510" s="1256">
        <f>33408000-4202000</f>
        <v>29206000</v>
      </c>
      <c r="N510" s="722">
        <f>J510+K510+P510</f>
        <v>12201289</v>
      </c>
      <c r="O510" s="1241">
        <f t="shared" si="387"/>
        <v>26.751346196009646</v>
      </c>
      <c r="P510" s="1254">
        <v>0</v>
      </c>
      <c r="Q510" s="1241">
        <f t="shared" si="390"/>
        <v>0</v>
      </c>
      <c r="R510" s="1254">
        <f t="shared" si="397"/>
        <v>-4202000</v>
      </c>
      <c r="S510" s="2911"/>
      <c r="T510" s="537"/>
    </row>
    <row r="511" spans="1:135" ht="27" customHeight="1" x14ac:dyDescent="0.2">
      <c r="A511" s="2765" t="s">
        <v>52</v>
      </c>
      <c r="B511" s="675" t="s">
        <v>347</v>
      </c>
      <c r="C511" s="1218" t="s">
        <v>225</v>
      </c>
      <c r="D511" s="677"/>
      <c r="E511" s="1257"/>
      <c r="F511" s="1257"/>
      <c r="G511" s="1257"/>
      <c r="H511" s="813"/>
      <c r="I511" s="680"/>
      <c r="J511" s="678"/>
      <c r="K511" s="678"/>
      <c r="L511" s="678"/>
      <c r="M511" s="679"/>
      <c r="N511" s="680"/>
      <c r="O511" s="681"/>
      <c r="P511" s="678"/>
      <c r="Q511" s="681"/>
      <c r="R511" s="678"/>
      <c r="S511" s="2768" t="s">
        <v>118</v>
      </c>
      <c r="T511" s="537"/>
    </row>
    <row r="512" spans="1:135" x14ac:dyDescent="0.2">
      <c r="A512" s="2766"/>
      <c r="B512" s="565" t="s">
        <v>3</v>
      </c>
      <c r="C512" s="566"/>
      <c r="D512" s="817">
        <f>+D513</f>
        <v>423765</v>
      </c>
      <c r="E512" s="815">
        <f t="shared" ref="E512:H513" si="425">+E513</f>
        <v>170789</v>
      </c>
      <c r="F512" s="815">
        <f t="shared" si="425"/>
        <v>237976</v>
      </c>
      <c r="G512" s="815">
        <f t="shared" si="425"/>
        <v>15000</v>
      </c>
      <c r="H512" s="852">
        <f t="shared" si="425"/>
        <v>0</v>
      </c>
      <c r="I512" s="817">
        <f>+I513</f>
        <v>423765</v>
      </c>
      <c r="J512" s="815">
        <f t="shared" ref="J512:M513" si="426">+J513</f>
        <v>170789</v>
      </c>
      <c r="K512" s="815">
        <f t="shared" si="426"/>
        <v>237976</v>
      </c>
      <c r="L512" s="815">
        <f t="shared" si="426"/>
        <v>15000</v>
      </c>
      <c r="M512" s="852">
        <f t="shared" si="426"/>
        <v>0</v>
      </c>
      <c r="N512" s="1221">
        <f>+N513</f>
        <v>408765</v>
      </c>
      <c r="O512" s="1258">
        <f t="shared" si="387"/>
        <v>96.460302290184416</v>
      </c>
      <c r="P512" s="815">
        <f>+P513</f>
        <v>0</v>
      </c>
      <c r="Q512" s="1258">
        <f t="shared" si="390"/>
        <v>0</v>
      </c>
      <c r="R512" s="815">
        <f t="shared" si="397"/>
        <v>-15000</v>
      </c>
      <c r="S512" s="2769"/>
      <c r="T512" s="537"/>
    </row>
    <row r="513" spans="1:20" ht="11.25" customHeight="1" x14ac:dyDescent="0.2">
      <c r="A513" s="2766"/>
      <c r="B513" s="819" t="s">
        <v>18</v>
      </c>
      <c r="C513" s="2771" t="s">
        <v>46</v>
      </c>
      <c r="D513" s="820">
        <f>+D514</f>
        <v>423765</v>
      </c>
      <c r="E513" s="821">
        <f t="shared" si="425"/>
        <v>170789</v>
      </c>
      <c r="F513" s="821">
        <f t="shared" si="425"/>
        <v>237976</v>
      </c>
      <c r="G513" s="821">
        <f t="shared" si="425"/>
        <v>15000</v>
      </c>
      <c r="H513" s="854">
        <f t="shared" si="425"/>
        <v>0</v>
      </c>
      <c r="I513" s="820">
        <f>+I514</f>
        <v>423765</v>
      </c>
      <c r="J513" s="821">
        <f t="shared" si="426"/>
        <v>170789</v>
      </c>
      <c r="K513" s="821">
        <f t="shared" si="426"/>
        <v>237976</v>
      </c>
      <c r="L513" s="821">
        <f t="shared" si="426"/>
        <v>15000</v>
      </c>
      <c r="M513" s="854">
        <f t="shared" si="426"/>
        <v>0</v>
      </c>
      <c r="N513" s="1226">
        <f>+N514</f>
        <v>408765</v>
      </c>
      <c r="O513" s="1259">
        <f t="shared" si="387"/>
        <v>96.460302290184416</v>
      </c>
      <c r="P513" s="821">
        <f>+P514</f>
        <v>0</v>
      </c>
      <c r="Q513" s="1259">
        <f t="shared" si="390"/>
        <v>0</v>
      </c>
      <c r="R513" s="821">
        <f t="shared" si="397"/>
        <v>-15000</v>
      </c>
      <c r="S513" s="2769"/>
      <c r="T513" s="537"/>
    </row>
    <row r="514" spans="1:20" ht="13.5" thickBot="1" x14ac:dyDescent="0.25">
      <c r="A514" s="2767"/>
      <c r="B514" s="696" t="s">
        <v>5</v>
      </c>
      <c r="C514" s="2842"/>
      <c r="D514" s="697">
        <f>+E514+F514+G514+H514</f>
        <v>423765</v>
      </c>
      <c r="E514" s="699">
        <v>170789</v>
      </c>
      <c r="F514" s="699">
        <v>237976</v>
      </c>
      <c r="G514" s="699">
        <v>15000</v>
      </c>
      <c r="H514" s="700">
        <v>0</v>
      </c>
      <c r="I514" s="697">
        <f>+J514+K514+L514+M514</f>
        <v>423765</v>
      </c>
      <c r="J514" s="699">
        <v>170789</v>
      </c>
      <c r="K514" s="733">
        <v>237976</v>
      </c>
      <c r="L514" s="733">
        <v>15000</v>
      </c>
      <c r="M514" s="736">
        <v>0</v>
      </c>
      <c r="N514" s="1260">
        <f>J514+K514+P514</f>
        <v>408765</v>
      </c>
      <c r="O514" s="1261">
        <f t="shared" si="387"/>
        <v>96.460302290184416</v>
      </c>
      <c r="P514" s="733">
        <v>0</v>
      </c>
      <c r="Q514" s="1261">
        <f t="shared" si="390"/>
        <v>0</v>
      </c>
      <c r="R514" s="699">
        <f>+P514-L514</f>
        <v>-15000</v>
      </c>
      <c r="S514" s="2770"/>
      <c r="T514" s="537"/>
    </row>
    <row r="515" spans="1:20" ht="18" customHeight="1" x14ac:dyDescent="0.2">
      <c r="A515" s="2828" t="s">
        <v>53</v>
      </c>
      <c r="B515" s="746" t="s">
        <v>122</v>
      </c>
      <c r="C515" s="1218" t="s">
        <v>225</v>
      </c>
      <c r="D515" s="677"/>
      <c r="E515" s="1257"/>
      <c r="F515" s="1257"/>
      <c r="G515" s="1257"/>
      <c r="H515" s="813"/>
      <c r="I515" s="680"/>
      <c r="J515" s="678"/>
      <c r="K515" s="678"/>
      <c r="L515" s="678"/>
      <c r="M515" s="679"/>
      <c r="N515" s="680"/>
      <c r="O515" s="681"/>
      <c r="P515" s="678"/>
      <c r="Q515" s="681"/>
      <c r="R515" s="678"/>
      <c r="S515" s="2768" t="s">
        <v>118</v>
      </c>
      <c r="T515" s="537"/>
    </row>
    <row r="516" spans="1:20" ht="12.75" customHeight="1" x14ac:dyDescent="0.2">
      <c r="A516" s="2829"/>
      <c r="B516" s="565" t="s">
        <v>3</v>
      </c>
      <c r="C516" s="566"/>
      <c r="D516" s="817">
        <f t="shared" ref="D516:N516" si="427">+D517</f>
        <v>44758329</v>
      </c>
      <c r="E516" s="815">
        <f t="shared" si="427"/>
        <v>21442291</v>
      </c>
      <c r="F516" s="815">
        <f t="shared" si="427"/>
        <v>23316038</v>
      </c>
      <c r="G516" s="851">
        <f t="shared" si="427"/>
        <v>0</v>
      </c>
      <c r="H516" s="852">
        <f t="shared" si="427"/>
        <v>0</v>
      </c>
      <c r="I516" s="817">
        <f t="shared" si="427"/>
        <v>44758329</v>
      </c>
      <c r="J516" s="815">
        <f t="shared" si="427"/>
        <v>21442291</v>
      </c>
      <c r="K516" s="815">
        <f t="shared" si="427"/>
        <v>23316038</v>
      </c>
      <c r="L516" s="851">
        <f t="shared" si="427"/>
        <v>0</v>
      </c>
      <c r="M516" s="852">
        <f t="shared" si="427"/>
        <v>0</v>
      </c>
      <c r="N516" s="1221">
        <f t="shared" si="427"/>
        <v>44758329</v>
      </c>
      <c r="O516" s="1258">
        <f t="shared" si="387"/>
        <v>100</v>
      </c>
      <c r="P516" s="851">
        <f>+P517</f>
        <v>0</v>
      </c>
      <c r="Q516" s="851">
        <v>0</v>
      </c>
      <c r="R516" s="815">
        <f t="shared" ref="R516:R522" si="428">+P516-L516</f>
        <v>0</v>
      </c>
      <c r="S516" s="2769"/>
      <c r="T516" s="537"/>
    </row>
    <row r="517" spans="1:20" ht="12.75" customHeight="1" x14ac:dyDescent="0.2">
      <c r="A517" s="2829"/>
      <c r="B517" s="819" t="s">
        <v>18</v>
      </c>
      <c r="C517" s="2771" t="s">
        <v>46</v>
      </c>
      <c r="D517" s="820">
        <f>+D518+D519</f>
        <v>44758329</v>
      </c>
      <c r="E517" s="821">
        <f>+E518+E519</f>
        <v>21442291</v>
      </c>
      <c r="F517" s="821">
        <f>+F518+F519</f>
        <v>23316038</v>
      </c>
      <c r="G517" s="853">
        <f>++G518+G519</f>
        <v>0</v>
      </c>
      <c r="H517" s="854">
        <f>++H518+H519</f>
        <v>0</v>
      </c>
      <c r="I517" s="820">
        <f>+I518+I519</f>
        <v>44758329</v>
      </c>
      <c r="J517" s="821">
        <f>+J518+J519</f>
        <v>21442291</v>
      </c>
      <c r="K517" s="821">
        <f>+K518+K519</f>
        <v>23316038</v>
      </c>
      <c r="L517" s="853">
        <f>++L518+L519</f>
        <v>0</v>
      </c>
      <c r="M517" s="854">
        <f>++M518+M519</f>
        <v>0</v>
      </c>
      <c r="N517" s="1226">
        <f>+N518+N519</f>
        <v>44758329</v>
      </c>
      <c r="O517" s="1259">
        <f t="shared" si="387"/>
        <v>100</v>
      </c>
      <c r="P517" s="853">
        <f>+P518+P519</f>
        <v>0</v>
      </c>
      <c r="Q517" s="853">
        <v>0</v>
      </c>
      <c r="R517" s="821">
        <f t="shared" si="428"/>
        <v>0</v>
      </c>
      <c r="S517" s="2769"/>
      <c r="T517" s="537"/>
    </row>
    <row r="518" spans="1:20" ht="12.75" customHeight="1" x14ac:dyDescent="0.2">
      <c r="A518" s="2829"/>
      <c r="B518" s="696" t="s">
        <v>5</v>
      </c>
      <c r="C518" s="2816"/>
      <c r="D518" s="697">
        <f>+E518+F518+G518+H518</f>
        <v>44188329</v>
      </c>
      <c r="E518" s="699">
        <v>21442291</v>
      </c>
      <c r="F518" s="699">
        <v>22746038</v>
      </c>
      <c r="G518" s="698">
        <v>0</v>
      </c>
      <c r="H518" s="700">
        <v>0</v>
      </c>
      <c r="I518" s="697">
        <f>+J518+K518+L518+M518</f>
        <v>44188329</v>
      </c>
      <c r="J518" s="699">
        <v>21442291</v>
      </c>
      <c r="K518" s="733">
        <v>22746038</v>
      </c>
      <c r="L518" s="698">
        <v>0</v>
      </c>
      <c r="M518" s="700">
        <v>0</v>
      </c>
      <c r="N518" s="1260">
        <f>J518+K518+P518</f>
        <v>44188329</v>
      </c>
      <c r="O518" s="1262">
        <f t="shared" si="387"/>
        <v>100</v>
      </c>
      <c r="P518" s="735">
        <v>0</v>
      </c>
      <c r="Q518" s="735">
        <v>0</v>
      </c>
      <c r="R518" s="699">
        <f t="shared" si="428"/>
        <v>0</v>
      </c>
      <c r="S518" s="2769"/>
      <c r="T518" s="537"/>
    </row>
    <row r="519" spans="1:20" ht="12.75" customHeight="1" x14ac:dyDescent="0.2">
      <c r="A519" s="2829"/>
      <c r="B519" s="696" t="s">
        <v>66</v>
      </c>
      <c r="C519" s="2816"/>
      <c r="D519" s="697">
        <f>+E519+F519+G519+H519</f>
        <v>570000</v>
      </c>
      <c r="E519" s="699">
        <v>0</v>
      </c>
      <c r="F519" s="699">
        <v>570000</v>
      </c>
      <c r="G519" s="698">
        <v>0</v>
      </c>
      <c r="H519" s="700">
        <v>0</v>
      </c>
      <c r="I519" s="697">
        <f>+J519+K519+L519+M519</f>
        <v>570000</v>
      </c>
      <c r="J519" s="699">
        <v>0</v>
      </c>
      <c r="K519" s="733">
        <v>570000</v>
      </c>
      <c r="L519" s="698">
        <v>0</v>
      </c>
      <c r="M519" s="700">
        <v>0</v>
      </c>
      <c r="N519" s="1260">
        <f>+P519+K519+J519</f>
        <v>570000</v>
      </c>
      <c r="O519" s="1262">
        <f t="shared" si="387"/>
        <v>100</v>
      </c>
      <c r="P519" s="735">
        <v>0</v>
      </c>
      <c r="Q519" s="735">
        <v>0</v>
      </c>
      <c r="R519" s="699">
        <f t="shared" si="428"/>
        <v>0</v>
      </c>
      <c r="S519" s="2902"/>
      <c r="T519" s="537"/>
    </row>
    <row r="520" spans="1:20" s="726" customFormat="1" ht="12.75" customHeight="1" x14ac:dyDescent="0.2">
      <c r="A520" s="2916"/>
      <c r="B520" s="565" t="s">
        <v>17</v>
      </c>
      <c r="C520" s="566"/>
      <c r="D520" s="933">
        <f t="shared" ref="D520:P520" si="429">+D521</f>
        <v>570000</v>
      </c>
      <c r="E520" s="828">
        <f t="shared" si="429"/>
        <v>0</v>
      </c>
      <c r="F520" s="828">
        <f t="shared" si="429"/>
        <v>570000</v>
      </c>
      <c r="G520" s="827">
        <f t="shared" si="429"/>
        <v>0</v>
      </c>
      <c r="H520" s="843">
        <f t="shared" si="429"/>
        <v>0</v>
      </c>
      <c r="I520" s="933">
        <f t="shared" si="429"/>
        <v>570000</v>
      </c>
      <c r="J520" s="828">
        <f t="shared" si="429"/>
        <v>0</v>
      </c>
      <c r="K520" s="1263">
        <f t="shared" si="429"/>
        <v>570000</v>
      </c>
      <c r="L520" s="827">
        <f t="shared" si="429"/>
        <v>0</v>
      </c>
      <c r="M520" s="843">
        <f t="shared" si="429"/>
        <v>0</v>
      </c>
      <c r="N520" s="933">
        <f t="shared" si="429"/>
        <v>570000</v>
      </c>
      <c r="O520" s="1258">
        <f t="shared" si="387"/>
        <v>100</v>
      </c>
      <c r="P520" s="851">
        <f t="shared" si="429"/>
        <v>0</v>
      </c>
      <c r="Q520" s="851">
        <v>0</v>
      </c>
      <c r="R520" s="828">
        <f t="shared" si="428"/>
        <v>0</v>
      </c>
      <c r="S520" s="2912" t="s">
        <v>109</v>
      </c>
      <c r="T520" s="537"/>
    </row>
    <row r="521" spans="1:20" ht="12.75" customHeight="1" x14ac:dyDescent="0.2">
      <c r="A521" s="2916"/>
      <c r="B521" s="925" t="s">
        <v>18</v>
      </c>
      <c r="C521" s="2771" t="s">
        <v>46</v>
      </c>
      <c r="D521" s="1226">
        <f t="shared" ref="D521:M521" si="430">+D522</f>
        <v>570000</v>
      </c>
      <c r="E521" s="821">
        <f t="shared" si="430"/>
        <v>0</v>
      </c>
      <c r="F521" s="821">
        <f t="shared" si="430"/>
        <v>570000</v>
      </c>
      <c r="G521" s="853">
        <f t="shared" si="430"/>
        <v>0</v>
      </c>
      <c r="H521" s="854">
        <f t="shared" si="430"/>
        <v>0</v>
      </c>
      <c r="I521" s="1226">
        <f t="shared" si="430"/>
        <v>570000</v>
      </c>
      <c r="J521" s="821">
        <f t="shared" si="430"/>
        <v>0</v>
      </c>
      <c r="K521" s="821">
        <f t="shared" si="430"/>
        <v>570000</v>
      </c>
      <c r="L521" s="853">
        <f t="shared" si="430"/>
        <v>0</v>
      </c>
      <c r="M521" s="854">
        <f t="shared" si="430"/>
        <v>0</v>
      </c>
      <c r="N521" s="1226">
        <f>+P521+K521+J521</f>
        <v>570000</v>
      </c>
      <c r="O521" s="1259">
        <f t="shared" si="387"/>
        <v>100</v>
      </c>
      <c r="P521" s="853">
        <f>+P522</f>
        <v>0</v>
      </c>
      <c r="Q521" s="853">
        <v>0</v>
      </c>
      <c r="R521" s="821">
        <f t="shared" si="428"/>
        <v>0</v>
      </c>
      <c r="S521" s="2912"/>
      <c r="T521" s="537"/>
    </row>
    <row r="522" spans="1:20" ht="12.75" customHeight="1" thickBot="1" x14ac:dyDescent="0.25">
      <c r="A522" s="2916"/>
      <c r="B522" s="780" t="s">
        <v>66</v>
      </c>
      <c r="C522" s="2818"/>
      <c r="D522" s="718">
        <f>+E522+F522+G522+H522</f>
        <v>570000</v>
      </c>
      <c r="E522" s="720">
        <v>0</v>
      </c>
      <c r="F522" s="720">
        <v>570000</v>
      </c>
      <c r="G522" s="719">
        <v>0</v>
      </c>
      <c r="H522" s="761">
        <v>0</v>
      </c>
      <c r="I522" s="718">
        <f>+J522+K522+L522+M522</f>
        <v>570000</v>
      </c>
      <c r="J522" s="720">
        <v>0</v>
      </c>
      <c r="K522" s="786">
        <v>570000</v>
      </c>
      <c r="L522" s="719">
        <v>0</v>
      </c>
      <c r="M522" s="761">
        <v>0</v>
      </c>
      <c r="N522" s="1237">
        <f>+P522+K522+J522</f>
        <v>570000</v>
      </c>
      <c r="O522" s="1261">
        <f t="shared" si="387"/>
        <v>100</v>
      </c>
      <c r="P522" s="735">
        <v>0</v>
      </c>
      <c r="Q522" s="903">
        <v>0</v>
      </c>
      <c r="R522" s="720">
        <f t="shared" si="428"/>
        <v>0</v>
      </c>
      <c r="S522" s="2913"/>
      <c r="T522" s="537"/>
    </row>
    <row r="523" spans="1:20" ht="25.5" x14ac:dyDescent="0.2">
      <c r="A523" s="2828" t="s">
        <v>54</v>
      </c>
      <c r="B523" s="746" t="s">
        <v>123</v>
      </c>
      <c r="C523" s="1218" t="s">
        <v>225</v>
      </c>
      <c r="D523" s="677"/>
      <c r="E523" s="1257"/>
      <c r="F523" s="1257"/>
      <c r="G523" s="1257"/>
      <c r="H523" s="813"/>
      <c r="I523" s="680"/>
      <c r="J523" s="678"/>
      <c r="K523" s="678"/>
      <c r="L523" s="678"/>
      <c r="M523" s="679"/>
      <c r="N523" s="680"/>
      <c r="O523" s="1264"/>
      <c r="P523" s="678"/>
      <c r="Q523" s="1264"/>
      <c r="R523" s="678"/>
      <c r="S523" s="2914" t="s">
        <v>118</v>
      </c>
      <c r="T523" s="537"/>
    </row>
    <row r="524" spans="1:20" x14ac:dyDescent="0.2">
      <c r="A524" s="2829"/>
      <c r="B524" s="565" t="s">
        <v>3</v>
      </c>
      <c r="C524" s="566"/>
      <c r="D524" s="817">
        <f t="shared" ref="D524:N525" si="431">+D525</f>
        <v>1743306</v>
      </c>
      <c r="E524" s="815">
        <f t="shared" si="431"/>
        <v>0</v>
      </c>
      <c r="F524" s="815">
        <f t="shared" si="431"/>
        <v>354120</v>
      </c>
      <c r="G524" s="815">
        <f t="shared" si="431"/>
        <v>1389186</v>
      </c>
      <c r="H524" s="815">
        <f t="shared" si="431"/>
        <v>0</v>
      </c>
      <c r="I524" s="817">
        <f t="shared" si="431"/>
        <v>1743306</v>
      </c>
      <c r="J524" s="815">
        <f t="shared" si="431"/>
        <v>0</v>
      </c>
      <c r="K524" s="815">
        <f t="shared" si="431"/>
        <v>354120</v>
      </c>
      <c r="L524" s="815">
        <f t="shared" si="431"/>
        <v>1389186</v>
      </c>
      <c r="M524" s="816">
        <f t="shared" si="431"/>
        <v>0</v>
      </c>
      <c r="N524" s="1221">
        <f t="shared" si="431"/>
        <v>354120</v>
      </c>
      <c r="O524" s="1258">
        <f t="shared" ref="O524:O554" si="432">N524/D524*100</f>
        <v>20.31312919246535</v>
      </c>
      <c r="P524" s="815">
        <f>+P525</f>
        <v>0</v>
      </c>
      <c r="Q524" s="1258">
        <f t="shared" ref="Q524:Q554" si="433">P524/G524*100</f>
        <v>0</v>
      </c>
      <c r="R524" s="815">
        <f>+P524-L524</f>
        <v>-1389186</v>
      </c>
      <c r="S524" s="2915"/>
      <c r="T524" s="537"/>
    </row>
    <row r="525" spans="1:20" x14ac:dyDescent="0.2">
      <c r="A525" s="2829"/>
      <c r="B525" s="819" t="s">
        <v>18</v>
      </c>
      <c r="C525" s="2771" t="s">
        <v>46</v>
      </c>
      <c r="D525" s="820">
        <f>+D526</f>
        <v>1743306</v>
      </c>
      <c r="E525" s="821">
        <f>+E526</f>
        <v>0</v>
      </c>
      <c r="F525" s="821">
        <f t="shared" si="431"/>
        <v>354120</v>
      </c>
      <c r="G525" s="821">
        <f t="shared" si="431"/>
        <v>1389186</v>
      </c>
      <c r="H525" s="821">
        <f t="shared" si="431"/>
        <v>0</v>
      </c>
      <c r="I525" s="820">
        <f>+I526</f>
        <v>1743306</v>
      </c>
      <c r="J525" s="821">
        <f>+J526</f>
        <v>0</v>
      </c>
      <c r="K525" s="821">
        <f t="shared" si="431"/>
        <v>354120</v>
      </c>
      <c r="L525" s="821">
        <f t="shared" si="431"/>
        <v>1389186</v>
      </c>
      <c r="M525" s="822">
        <f t="shared" si="431"/>
        <v>0</v>
      </c>
      <c r="N525" s="1226">
        <f>+N526</f>
        <v>354120</v>
      </c>
      <c r="O525" s="1259">
        <f t="shared" si="432"/>
        <v>20.31312919246535</v>
      </c>
      <c r="P525" s="821">
        <f>+P526</f>
        <v>0</v>
      </c>
      <c r="Q525" s="1259">
        <f t="shared" si="433"/>
        <v>0</v>
      </c>
      <c r="R525" s="821">
        <f>+P525-L525</f>
        <v>-1389186</v>
      </c>
      <c r="S525" s="2915"/>
      <c r="T525" s="537"/>
    </row>
    <row r="526" spans="1:20" ht="15.75" customHeight="1" thickBot="1" x14ac:dyDescent="0.25">
      <c r="A526" s="2829"/>
      <c r="B526" s="696" t="s">
        <v>5</v>
      </c>
      <c r="C526" s="2816"/>
      <c r="D526" s="697">
        <f>+E526+F526+G526+H526</f>
        <v>1743306</v>
      </c>
      <c r="E526" s="699">
        <v>0</v>
      </c>
      <c r="F526" s="699">
        <v>354120</v>
      </c>
      <c r="G526" s="699">
        <v>1389186</v>
      </c>
      <c r="H526" s="699">
        <v>0</v>
      </c>
      <c r="I526" s="697">
        <f>+J526+K526+L526+M526</f>
        <v>1743306</v>
      </c>
      <c r="J526" s="699">
        <v>0</v>
      </c>
      <c r="K526" s="733">
        <v>354120</v>
      </c>
      <c r="L526" s="733">
        <v>1389186</v>
      </c>
      <c r="M526" s="824">
        <v>0</v>
      </c>
      <c r="N526" s="1260">
        <f>J526+K526+P526</f>
        <v>354120</v>
      </c>
      <c r="O526" s="1261">
        <f t="shared" si="432"/>
        <v>20.31312919246535</v>
      </c>
      <c r="P526" s="733">
        <v>0</v>
      </c>
      <c r="Q526" s="1261">
        <f t="shared" si="433"/>
        <v>0</v>
      </c>
      <c r="R526" s="699">
        <f>+P526-L526</f>
        <v>-1389186</v>
      </c>
      <c r="S526" s="2900"/>
      <c r="T526" s="537"/>
    </row>
    <row r="527" spans="1:20" ht="26.25" customHeight="1" x14ac:dyDescent="0.2">
      <c r="A527" s="2765" t="s">
        <v>56</v>
      </c>
      <c r="B527" s="675" t="s">
        <v>348</v>
      </c>
      <c r="C527" s="1218" t="s">
        <v>225</v>
      </c>
      <c r="D527" s="1184"/>
      <c r="E527" s="1185"/>
      <c r="F527" s="1185"/>
      <c r="G527" s="1185"/>
      <c r="H527" s="1187"/>
      <c r="I527" s="1184"/>
      <c r="J527" s="1185"/>
      <c r="K527" s="1185"/>
      <c r="L527" s="1185"/>
      <c r="M527" s="1187"/>
      <c r="N527" s="1184"/>
      <c r="O527" s="1189"/>
      <c r="P527" s="1185"/>
      <c r="Q527" s="1189"/>
      <c r="R527" s="1185"/>
      <c r="S527" s="2768" t="s">
        <v>118</v>
      </c>
      <c r="T527" s="537"/>
    </row>
    <row r="528" spans="1:20" x14ac:dyDescent="0.2">
      <c r="A528" s="2766"/>
      <c r="B528" s="879" t="s">
        <v>3</v>
      </c>
      <c r="C528" s="566"/>
      <c r="D528" s="1265">
        <f t="shared" ref="D528:M529" si="434">+D529</f>
        <v>604278</v>
      </c>
      <c r="E528" s="1266">
        <f t="shared" si="434"/>
        <v>231400</v>
      </c>
      <c r="F528" s="1266">
        <f t="shared" si="434"/>
        <v>22878</v>
      </c>
      <c r="G528" s="1266">
        <f t="shared" si="434"/>
        <v>350000</v>
      </c>
      <c r="H528" s="1267">
        <f t="shared" si="434"/>
        <v>0</v>
      </c>
      <c r="I528" s="1265">
        <f t="shared" si="434"/>
        <v>604278</v>
      </c>
      <c r="J528" s="1266">
        <f t="shared" si="434"/>
        <v>231400</v>
      </c>
      <c r="K528" s="1266">
        <f t="shared" si="434"/>
        <v>22878</v>
      </c>
      <c r="L528" s="1266">
        <f t="shared" si="434"/>
        <v>350000</v>
      </c>
      <c r="M528" s="1267">
        <f t="shared" si="434"/>
        <v>0</v>
      </c>
      <c r="N528" s="1265">
        <f>+N529</f>
        <v>254278</v>
      </c>
      <c r="O528" s="1268">
        <f t="shared" si="432"/>
        <v>42.079638841725163</v>
      </c>
      <c r="P528" s="922">
        <f>+P529</f>
        <v>0</v>
      </c>
      <c r="Q528" s="1269">
        <f t="shared" si="433"/>
        <v>0</v>
      </c>
      <c r="R528" s="1266">
        <f t="shared" ref="R528:R534" si="435">+P528-L528</f>
        <v>-350000</v>
      </c>
      <c r="S528" s="2769"/>
      <c r="T528" s="537"/>
    </row>
    <row r="529" spans="1:20" x14ac:dyDescent="0.2">
      <c r="A529" s="2766"/>
      <c r="B529" s="904" t="s">
        <v>18</v>
      </c>
      <c r="C529" s="2771" t="s">
        <v>46</v>
      </c>
      <c r="D529" s="1251">
        <f>+D530+D531</f>
        <v>604278</v>
      </c>
      <c r="E529" s="1201">
        <f t="shared" si="434"/>
        <v>231400</v>
      </c>
      <c r="F529" s="1201">
        <f>+F530+F531</f>
        <v>22878</v>
      </c>
      <c r="G529" s="1201">
        <f t="shared" si="434"/>
        <v>350000</v>
      </c>
      <c r="H529" s="853">
        <f t="shared" si="434"/>
        <v>0</v>
      </c>
      <c r="I529" s="1251">
        <f>+I530+I531</f>
        <v>604278</v>
      </c>
      <c r="J529" s="1201">
        <f t="shared" si="434"/>
        <v>231400</v>
      </c>
      <c r="K529" s="1201">
        <f>+K530+K531</f>
        <v>22878</v>
      </c>
      <c r="L529" s="1201">
        <f t="shared" si="434"/>
        <v>350000</v>
      </c>
      <c r="M529" s="1111">
        <f t="shared" si="434"/>
        <v>0</v>
      </c>
      <c r="N529" s="1251">
        <f>+N530+N531</f>
        <v>254278</v>
      </c>
      <c r="O529" s="1252">
        <f t="shared" si="432"/>
        <v>42.079638841725163</v>
      </c>
      <c r="P529" s="1110">
        <f>+P530+P531</f>
        <v>0</v>
      </c>
      <c r="Q529" s="1110">
        <f t="shared" si="433"/>
        <v>0</v>
      </c>
      <c r="R529" s="1201">
        <f t="shared" si="435"/>
        <v>-350000</v>
      </c>
      <c r="S529" s="2769"/>
      <c r="T529" s="537"/>
    </row>
    <row r="530" spans="1:20" x14ac:dyDescent="0.2">
      <c r="A530" s="2766"/>
      <c r="B530" s="696" t="s">
        <v>5</v>
      </c>
      <c r="C530" s="2816"/>
      <c r="D530" s="697">
        <f>+E530+F530+G530+H530</f>
        <v>581400</v>
      </c>
      <c r="E530" s="699">
        <f>228400+3000</f>
        <v>231400</v>
      </c>
      <c r="F530" s="699">
        <v>0</v>
      </c>
      <c r="G530" s="699">
        <v>350000</v>
      </c>
      <c r="H530" s="698">
        <v>0</v>
      </c>
      <c r="I530" s="697">
        <f>+J530+K530+L530+M530</f>
        <v>581400</v>
      </c>
      <c r="J530" s="699">
        <f>228400+3000</f>
        <v>231400</v>
      </c>
      <c r="K530" s="699">
        <v>0</v>
      </c>
      <c r="L530" s="699">
        <v>350000</v>
      </c>
      <c r="M530" s="700">
        <v>0</v>
      </c>
      <c r="N530" s="701">
        <f>J530+K530+P530</f>
        <v>231400</v>
      </c>
      <c r="O530" s="1270">
        <f t="shared" si="432"/>
        <v>39.800481596147229</v>
      </c>
      <c r="P530" s="698">
        <v>0</v>
      </c>
      <c r="Q530" s="698">
        <f t="shared" si="433"/>
        <v>0</v>
      </c>
      <c r="R530" s="699">
        <f t="shared" si="435"/>
        <v>-350000</v>
      </c>
      <c r="S530" s="2769"/>
      <c r="T530" s="537"/>
    </row>
    <row r="531" spans="1:20" x14ac:dyDescent="0.2">
      <c r="A531" s="2766"/>
      <c r="B531" s="696" t="s">
        <v>66</v>
      </c>
      <c r="C531" s="2816"/>
      <c r="D531" s="697">
        <f>+E531+F531+G531+H531</f>
        <v>22878</v>
      </c>
      <c r="E531" s="699"/>
      <c r="F531" s="699">
        <v>22878</v>
      </c>
      <c r="G531" s="698">
        <v>0</v>
      </c>
      <c r="H531" s="698">
        <v>0</v>
      </c>
      <c r="I531" s="697">
        <f>+J531+K531+L531+M531</f>
        <v>22878</v>
      </c>
      <c r="J531" s="699"/>
      <c r="K531" s="699">
        <v>22878</v>
      </c>
      <c r="L531" s="699">
        <v>0</v>
      </c>
      <c r="M531" s="700">
        <v>0</v>
      </c>
      <c r="N531" s="701">
        <f>+P531+K531+J531</f>
        <v>22878</v>
      </c>
      <c r="O531" s="1270">
        <f t="shared" si="432"/>
        <v>100</v>
      </c>
      <c r="P531" s="698">
        <v>0</v>
      </c>
      <c r="Q531" s="698">
        <v>0</v>
      </c>
      <c r="R531" s="699">
        <f t="shared" si="435"/>
        <v>0</v>
      </c>
      <c r="S531" s="2902"/>
      <c r="T531" s="537"/>
    </row>
    <row r="532" spans="1:20" x14ac:dyDescent="0.2">
      <c r="A532" s="2766"/>
      <c r="B532" s="879" t="s">
        <v>17</v>
      </c>
      <c r="C532" s="566"/>
      <c r="D532" s="920">
        <f t="shared" ref="D532:P533" si="436">+D533</f>
        <v>22878</v>
      </c>
      <c r="E532" s="827">
        <f t="shared" si="436"/>
        <v>0</v>
      </c>
      <c r="F532" s="1266">
        <f t="shared" si="436"/>
        <v>22878</v>
      </c>
      <c r="G532" s="827">
        <f t="shared" si="436"/>
        <v>0</v>
      </c>
      <c r="H532" s="843">
        <f t="shared" si="436"/>
        <v>0</v>
      </c>
      <c r="I532" s="920">
        <f t="shared" si="436"/>
        <v>22878</v>
      </c>
      <c r="J532" s="827">
        <f t="shared" si="436"/>
        <v>0</v>
      </c>
      <c r="K532" s="1266">
        <f t="shared" si="436"/>
        <v>22878</v>
      </c>
      <c r="L532" s="827">
        <f t="shared" si="436"/>
        <v>0</v>
      </c>
      <c r="M532" s="843">
        <f t="shared" si="436"/>
        <v>0</v>
      </c>
      <c r="N532" s="1265">
        <f t="shared" si="436"/>
        <v>22878</v>
      </c>
      <c r="O532" s="1258">
        <f t="shared" si="432"/>
        <v>100</v>
      </c>
      <c r="P532" s="827">
        <f t="shared" si="436"/>
        <v>0</v>
      </c>
      <c r="Q532" s="827">
        <v>0</v>
      </c>
      <c r="R532" s="934">
        <f t="shared" si="435"/>
        <v>0</v>
      </c>
      <c r="S532" s="2817" t="s">
        <v>109</v>
      </c>
      <c r="T532" s="537"/>
    </row>
    <row r="533" spans="1:20" x14ac:dyDescent="0.2">
      <c r="A533" s="2766"/>
      <c r="B533" s="1271" t="s">
        <v>18</v>
      </c>
      <c r="C533" s="2771" t="s">
        <v>46</v>
      </c>
      <c r="D533" s="1251">
        <f t="shared" si="436"/>
        <v>22878</v>
      </c>
      <c r="E533" s="853">
        <f t="shared" si="436"/>
        <v>0</v>
      </c>
      <c r="F533" s="1201">
        <f t="shared" si="436"/>
        <v>22878</v>
      </c>
      <c r="G533" s="853">
        <f t="shared" si="436"/>
        <v>0</v>
      </c>
      <c r="H533" s="854">
        <f t="shared" si="436"/>
        <v>0</v>
      </c>
      <c r="I533" s="1251">
        <f t="shared" si="436"/>
        <v>22878</v>
      </c>
      <c r="J533" s="853">
        <f t="shared" si="436"/>
        <v>0</v>
      </c>
      <c r="K533" s="1201">
        <f t="shared" si="436"/>
        <v>22878</v>
      </c>
      <c r="L533" s="853">
        <f t="shared" si="436"/>
        <v>0</v>
      </c>
      <c r="M533" s="854">
        <f t="shared" si="436"/>
        <v>0</v>
      </c>
      <c r="N533" s="1251">
        <f t="shared" si="436"/>
        <v>22878</v>
      </c>
      <c r="O533" s="1259">
        <f t="shared" si="432"/>
        <v>100</v>
      </c>
      <c r="P533" s="853">
        <f t="shared" si="436"/>
        <v>0</v>
      </c>
      <c r="Q533" s="853">
        <v>0</v>
      </c>
      <c r="R533" s="1230">
        <f t="shared" si="435"/>
        <v>0</v>
      </c>
      <c r="S533" s="2769"/>
      <c r="T533" s="537"/>
    </row>
    <row r="534" spans="1:20" ht="13.5" thickBot="1" x14ac:dyDescent="0.25">
      <c r="A534" s="2767"/>
      <c r="B534" s="780" t="s">
        <v>66</v>
      </c>
      <c r="C534" s="2818"/>
      <c r="D534" s="718">
        <f>+E534+F534+G534+H534</f>
        <v>22878</v>
      </c>
      <c r="E534" s="719">
        <v>0</v>
      </c>
      <c r="F534" s="720">
        <v>22878</v>
      </c>
      <c r="G534" s="719">
        <v>0</v>
      </c>
      <c r="H534" s="761">
        <v>0</v>
      </c>
      <c r="I534" s="718">
        <f>+J534+K534+L534+M534</f>
        <v>22878</v>
      </c>
      <c r="J534" s="719">
        <v>0</v>
      </c>
      <c r="K534" s="720">
        <v>22878</v>
      </c>
      <c r="L534" s="719">
        <v>0</v>
      </c>
      <c r="M534" s="761">
        <v>0</v>
      </c>
      <c r="N534" s="784">
        <f>+P534+K534+J534</f>
        <v>22878</v>
      </c>
      <c r="O534" s="1261">
        <f t="shared" si="432"/>
        <v>100</v>
      </c>
      <c r="P534" s="719">
        <v>0</v>
      </c>
      <c r="Q534" s="719">
        <v>0</v>
      </c>
      <c r="R534" s="1272">
        <f t="shared" si="435"/>
        <v>0</v>
      </c>
      <c r="S534" s="2770"/>
      <c r="T534" s="537"/>
    </row>
    <row r="535" spans="1:20" ht="39.75" customHeight="1" x14ac:dyDescent="0.2">
      <c r="A535" s="2765" t="s">
        <v>58</v>
      </c>
      <c r="B535" s="675" t="s">
        <v>313</v>
      </c>
      <c r="C535" s="676" t="s">
        <v>233</v>
      </c>
      <c r="D535" s="677"/>
      <c r="E535" s="1257"/>
      <c r="F535" s="1257"/>
      <c r="G535" s="1257"/>
      <c r="H535" s="813"/>
      <c r="I535" s="680"/>
      <c r="J535" s="678"/>
      <c r="K535" s="678"/>
      <c r="L535" s="678"/>
      <c r="M535" s="679"/>
      <c r="N535" s="680"/>
      <c r="O535" s="681"/>
      <c r="P535" s="678"/>
      <c r="Q535" s="681"/>
      <c r="R535" s="678"/>
      <c r="S535" s="2768" t="s">
        <v>109</v>
      </c>
      <c r="T535" s="537"/>
    </row>
    <row r="536" spans="1:20" x14ac:dyDescent="0.2">
      <c r="A536" s="2766"/>
      <c r="B536" s="565" t="s">
        <v>3</v>
      </c>
      <c r="C536" s="566"/>
      <c r="D536" s="817">
        <f>+D537</f>
        <v>14869812</v>
      </c>
      <c r="E536" s="815">
        <f t="shared" ref="E536:H537" si="437">+E537</f>
        <v>969812</v>
      </c>
      <c r="F536" s="815">
        <f t="shared" si="437"/>
        <v>1150000</v>
      </c>
      <c r="G536" s="815">
        <f t="shared" si="437"/>
        <v>2150000</v>
      </c>
      <c r="H536" s="815">
        <f t="shared" si="437"/>
        <v>10600000</v>
      </c>
      <c r="I536" s="817">
        <f>+I537</f>
        <v>14620817.32</v>
      </c>
      <c r="J536" s="815">
        <f t="shared" ref="J536:M537" si="438">+J537</f>
        <v>951324</v>
      </c>
      <c r="K536" s="815">
        <f t="shared" si="438"/>
        <v>919493.32</v>
      </c>
      <c r="L536" s="815">
        <f t="shared" si="438"/>
        <v>2150000</v>
      </c>
      <c r="M536" s="816">
        <f t="shared" si="438"/>
        <v>10600000</v>
      </c>
      <c r="N536" s="1273">
        <f>+N537</f>
        <v>2127452.6799999997</v>
      </c>
      <c r="O536" s="1258">
        <f t="shared" si="432"/>
        <v>14.30719285489285</v>
      </c>
      <c r="P536" s="815">
        <f>+P537</f>
        <v>256635.36</v>
      </c>
      <c r="Q536" s="1258">
        <f t="shared" si="433"/>
        <v>11.936528372093022</v>
      </c>
      <c r="R536" s="815">
        <f t="shared" ref="R536:R537" si="439">+P536-L536</f>
        <v>-1893364.6400000001</v>
      </c>
      <c r="S536" s="2769"/>
      <c r="T536" s="537"/>
    </row>
    <row r="537" spans="1:20" ht="11.25" customHeight="1" x14ac:dyDescent="0.2">
      <c r="A537" s="2766"/>
      <c r="B537" s="819" t="s">
        <v>18</v>
      </c>
      <c r="C537" s="2771" t="s">
        <v>46</v>
      </c>
      <c r="D537" s="820">
        <f>+D538</f>
        <v>14869812</v>
      </c>
      <c r="E537" s="821">
        <f t="shared" si="437"/>
        <v>969812</v>
      </c>
      <c r="F537" s="821">
        <f t="shared" si="437"/>
        <v>1150000</v>
      </c>
      <c r="G537" s="821">
        <f t="shared" si="437"/>
        <v>2150000</v>
      </c>
      <c r="H537" s="821">
        <f t="shared" si="437"/>
        <v>10600000</v>
      </c>
      <c r="I537" s="820">
        <f>+I538</f>
        <v>14620817.32</v>
      </c>
      <c r="J537" s="821">
        <f t="shared" si="438"/>
        <v>951324</v>
      </c>
      <c r="K537" s="821">
        <f t="shared" si="438"/>
        <v>919493.32</v>
      </c>
      <c r="L537" s="821">
        <f t="shared" si="438"/>
        <v>2150000</v>
      </c>
      <c r="M537" s="822">
        <f t="shared" si="438"/>
        <v>10600000</v>
      </c>
      <c r="N537" s="1274">
        <f>+N538</f>
        <v>2127452.6799999997</v>
      </c>
      <c r="O537" s="1259">
        <f t="shared" si="432"/>
        <v>14.30719285489285</v>
      </c>
      <c r="P537" s="821">
        <f>+P538</f>
        <v>256635.36</v>
      </c>
      <c r="Q537" s="1259">
        <f t="shared" si="433"/>
        <v>11.936528372093022</v>
      </c>
      <c r="R537" s="821">
        <f t="shared" si="439"/>
        <v>-1893364.6400000001</v>
      </c>
      <c r="S537" s="2769"/>
      <c r="T537" s="537"/>
    </row>
    <row r="538" spans="1:20" ht="13.5" thickBot="1" x14ac:dyDescent="0.25">
      <c r="A538" s="2767"/>
      <c r="B538" s="780" t="s">
        <v>5</v>
      </c>
      <c r="C538" s="2772"/>
      <c r="D538" s="718">
        <f>+E538+F538+G538+H538</f>
        <v>14869812</v>
      </c>
      <c r="E538" s="720">
        <v>969812</v>
      </c>
      <c r="F538" s="720">
        <v>1150000</v>
      </c>
      <c r="G538" s="720">
        <v>2150000</v>
      </c>
      <c r="H538" s="720">
        <f>2900000+3850000+3850000</f>
        <v>10600000</v>
      </c>
      <c r="I538" s="718">
        <f>+J538+K538+L538+M538</f>
        <v>14620817.32</v>
      </c>
      <c r="J538" s="720">
        <f>969812-18488</f>
        <v>951324</v>
      </c>
      <c r="K538" s="786">
        <v>919493.32</v>
      </c>
      <c r="L538" s="720">
        <v>2150000</v>
      </c>
      <c r="M538" s="1116">
        <f>2900000+3850000+3850000</f>
        <v>10600000</v>
      </c>
      <c r="N538" s="1275">
        <f>J538+K538+P538</f>
        <v>2127452.6799999997</v>
      </c>
      <c r="O538" s="1261">
        <f t="shared" si="432"/>
        <v>14.30719285489285</v>
      </c>
      <c r="P538" s="786">
        <v>256635.36</v>
      </c>
      <c r="Q538" s="1261">
        <f t="shared" si="433"/>
        <v>11.936528372093022</v>
      </c>
      <c r="R538" s="720">
        <f>+P538-L538</f>
        <v>-1893364.6400000001</v>
      </c>
      <c r="S538" s="2770"/>
      <c r="T538" s="537"/>
    </row>
    <row r="539" spans="1:20" ht="27" customHeight="1" x14ac:dyDescent="0.2">
      <c r="A539" s="2765" t="s">
        <v>60</v>
      </c>
      <c r="B539" s="675" t="s">
        <v>314</v>
      </c>
      <c r="C539" s="676" t="s">
        <v>233</v>
      </c>
      <c r="D539" s="677"/>
      <c r="E539" s="1257"/>
      <c r="F539" s="1257"/>
      <c r="G539" s="1257"/>
      <c r="H539" s="813"/>
      <c r="I539" s="680"/>
      <c r="J539" s="678"/>
      <c r="K539" s="678"/>
      <c r="L539" s="678"/>
      <c r="M539" s="679"/>
      <c r="N539" s="680"/>
      <c r="O539" s="681"/>
      <c r="P539" s="678"/>
      <c r="Q539" s="681"/>
      <c r="R539" s="678"/>
      <c r="S539" s="2768" t="s">
        <v>109</v>
      </c>
      <c r="T539" s="537"/>
    </row>
    <row r="540" spans="1:20" x14ac:dyDescent="0.2">
      <c r="A540" s="2766"/>
      <c r="B540" s="565" t="s">
        <v>3</v>
      </c>
      <c r="C540" s="566"/>
      <c r="D540" s="817">
        <f>+D541</f>
        <v>308000000</v>
      </c>
      <c r="E540" s="851">
        <f t="shared" ref="E540:H541" si="440">+E541</f>
        <v>0</v>
      </c>
      <c r="F540" s="851">
        <f t="shared" si="440"/>
        <v>0</v>
      </c>
      <c r="G540" s="815">
        <f t="shared" si="440"/>
        <v>77000000</v>
      </c>
      <c r="H540" s="815">
        <f t="shared" si="440"/>
        <v>231000000</v>
      </c>
      <c r="I540" s="817">
        <f>+I541</f>
        <v>308000000</v>
      </c>
      <c r="J540" s="922">
        <f t="shared" ref="J540:M541" si="441">+J541</f>
        <v>0</v>
      </c>
      <c r="K540" s="922">
        <f t="shared" si="441"/>
        <v>0</v>
      </c>
      <c r="L540" s="921">
        <f t="shared" si="441"/>
        <v>77000000</v>
      </c>
      <c r="M540" s="1276">
        <f t="shared" si="441"/>
        <v>231000000</v>
      </c>
      <c r="N540" s="1273">
        <f>+N541</f>
        <v>19817085.960000001</v>
      </c>
      <c r="O540" s="1277">
        <f t="shared" si="432"/>
        <v>6.4341188181818181</v>
      </c>
      <c r="P540" s="815">
        <f>+P541</f>
        <v>19817085.960000001</v>
      </c>
      <c r="Q540" s="1277">
        <f t="shared" si="433"/>
        <v>25.736475272727272</v>
      </c>
      <c r="R540" s="815">
        <f t="shared" ref="R540:R541" si="442">+P540-L540</f>
        <v>-57182914.039999999</v>
      </c>
      <c r="S540" s="2769"/>
      <c r="T540" s="537"/>
    </row>
    <row r="541" spans="1:20" x14ac:dyDescent="0.2">
      <c r="A541" s="2766"/>
      <c r="B541" s="819" t="s">
        <v>18</v>
      </c>
      <c r="C541" s="2771" t="s">
        <v>46</v>
      </c>
      <c r="D541" s="820">
        <f>+D542</f>
        <v>308000000</v>
      </c>
      <c r="E541" s="853">
        <f t="shared" si="440"/>
        <v>0</v>
      </c>
      <c r="F541" s="853">
        <f t="shared" si="440"/>
        <v>0</v>
      </c>
      <c r="G541" s="821">
        <f t="shared" si="440"/>
        <v>77000000</v>
      </c>
      <c r="H541" s="821">
        <f t="shared" si="440"/>
        <v>231000000</v>
      </c>
      <c r="I541" s="820">
        <f>+I542</f>
        <v>308000000</v>
      </c>
      <c r="J541" s="1110">
        <f t="shared" si="441"/>
        <v>0</v>
      </c>
      <c r="K541" s="1110">
        <f t="shared" si="441"/>
        <v>0</v>
      </c>
      <c r="L541" s="1109">
        <f t="shared" si="441"/>
        <v>77000000</v>
      </c>
      <c r="M541" s="1278">
        <f t="shared" si="441"/>
        <v>231000000</v>
      </c>
      <c r="N541" s="1274">
        <f>+N542</f>
        <v>19817085.960000001</v>
      </c>
      <c r="O541" s="1279">
        <f t="shared" si="432"/>
        <v>6.4341188181818181</v>
      </c>
      <c r="P541" s="821">
        <f>+P542</f>
        <v>19817085.960000001</v>
      </c>
      <c r="Q541" s="1279">
        <f t="shared" si="433"/>
        <v>25.736475272727272</v>
      </c>
      <c r="R541" s="821">
        <f t="shared" si="442"/>
        <v>-57182914.039999999</v>
      </c>
      <c r="S541" s="2769"/>
      <c r="T541" s="537"/>
    </row>
    <row r="542" spans="1:20" ht="13.5" thickBot="1" x14ac:dyDescent="0.25">
      <c r="A542" s="2767"/>
      <c r="B542" s="780" t="s">
        <v>5</v>
      </c>
      <c r="C542" s="2772"/>
      <c r="D542" s="718">
        <f>+E542+F542+G542+H542</f>
        <v>308000000</v>
      </c>
      <c r="E542" s="719">
        <v>0</v>
      </c>
      <c r="F542" s="719">
        <v>0</v>
      </c>
      <c r="G542" s="720">
        <v>77000000</v>
      </c>
      <c r="H542" s="720">
        <f>308000000-77000000</f>
        <v>231000000</v>
      </c>
      <c r="I542" s="718">
        <f>+J542+K542+L542+M542</f>
        <v>308000000</v>
      </c>
      <c r="J542" s="719">
        <v>0</v>
      </c>
      <c r="K542" s="719">
        <v>0</v>
      </c>
      <c r="L542" s="720">
        <v>77000000</v>
      </c>
      <c r="M542" s="1116">
        <f>308000000-77000000</f>
        <v>231000000</v>
      </c>
      <c r="N542" s="1275">
        <f>J542+K542+P542</f>
        <v>19817085.960000001</v>
      </c>
      <c r="O542" s="1280">
        <f t="shared" si="432"/>
        <v>6.4341188181818181</v>
      </c>
      <c r="P542" s="786">
        <v>19817085.960000001</v>
      </c>
      <c r="Q542" s="1280">
        <f t="shared" si="433"/>
        <v>25.736475272727272</v>
      </c>
      <c r="R542" s="720">
        <f>+P542-L542</f>
        <v>-57182914.039999999</v>
      </c>
      <c r="S542" s="2770"/>
      <c r="T542" s="537"/>
    </row>
    <row r="543" spans="1:20" ht="28.5" customHeight="1" x14ac:dyDescent="0.2">
      <c r="A543" s="2765" t="s">
        <v>62</v>
      </c>
      <c r="B543" s="675" t="s">
        <v>315</v>
      </c>
      <c r="C543" s="676" t="s">
        <v>233</v>
      </c>
      <c r="D543" s="677"/>
      <c r="E543" s="1257"/>
      <c r="F543" s="1257"/>
      <c r="G543" s="1257"/>
      <c r="H543" s="813"/>
      <c r="I543" s="680"/>
      <c r="J543" s="678"/>
      <c r="K543" s="678"/>
      <c r="L543" s="678"/>
      <c r="M543" s="679"/>
      <c r="N543" s="680"/>
      <c r="O543" s="681"/>
      <c r="P543" s="678"/>
      <c r="Q543" s="681"/>
      <c r="R543" s="678"/>
      <c r="S543" s="2768" t="s">
        <v>109</v>
      </c>
      <c r="T543" s="537"/>
    </row>
    <row r="544" spans="1:20" x14ac:dyDescent="0.2">
      <c r="A544" s="2766"/>
      <c r="B544" s="565" t="s">
        <v>3</v>
      </c>
      <c r="C544" s="566"/>
      <c r="D544" s="817">
        <f>+D545</f>
        <v>1200000</v>
      </c>
      <c r="E544" s="851">
        <f t="shared" ref="E544:H545" si="443">+E545</f>
        <v>0</v>
      </c>
      <c r="F544" s="851">
        <f t="shared" si="443"/>
        <v>0</v>
      </c>
      <c r="G544" s="815">
        <f t="shared" si="443"/>
        <v>600000</v>
      </c>
      <c r="H544" s="815">
        <f t="shared" si="443"/>
        <v>600000</v>
      </c>
      <c r="I544" s="817">
        <f>+I545</f>
        <v>1200000</v>
      </c>
      <c r="J544" s="851">
        <f t="shared" ref="J544:M545" si="444">+J545</f>
        <v>0</v>
      </c>
      <c r="K544" s="922">
        <f t="shared" si="444"/>
        <v>0</v>
      </c>
      <c r="L544" s="921">
        <f t="shared" si="444"/>
        <v>600000</v>
      </c>
      <c r="M544" s="1276">
        <f t="shared" si="444"/>
        <v>600000</v>
      </c>
      <c r="N544" s="1273">
        <f>+N545</f>
        <v>0</v>
      </c>
      <c r="O544" s="1277">
        <f t="shared" si="432"/>
        <v>0</v>
      </c>
      <c r="P544" s="921">
        <f>+P545</f>
        <v>0</v>
      </c>
      <c r="Q544" s="1277">
        <f t="shared" si="433"/>
        <v>0</v>
      </c>
      <c r="R544" s="815">
        <f t="shared" ref="R544:R545" si="445">+P544-L544</f>
        <v>-600000</v>
      </c>
      <c r="S544" s="2769"/>
      <c r="T544" s="537"/>
    </row>
    <row r="545" spans="1:20" x14ac:dyDescent="0.2">
      <c r="A545" s="2766"/>
      <c r="B545" s="819" t="s">
        <v>18</v>
      </c>
      <c r="C545" s="2771" t="s">
        <v>46</v>
      </c>
      <c r="D545" s="820">
        <f>+D546</f>
        <v>1200000</v>
      </c>
      <c r="E545" s="853">
        <f t="shared" si="443"/>
        <v>0</v>
      </c>
      <c r="F545" s="853">
        <f t="shared" si="443"/>
        <v>0</v>
      </c>
      <c r="G545" s="821">
        <f t="shared" si="443"/>
        <v>600000</v>
      </c>
      <c r="H545" s="821">
        <f t="shared" si="443"/>
        <v>600000</v>
      </c>
      <c r="I545" s="820">
        <f>+I546</f>
        <v>1200000</v>
      </c>
      <c r="J545" s="853">
        <f t="shared" si="444"/>
        <v>0</v>
      </c>
      <c r="K545" s="1110">
        <f t="shared" si="444"/>
        <v>0</v>
      </c>
      <c r="L545" s="1109">
        <f t="shared" si="444"/>
        <v>600000</v>
      </c>
      <c r="M545" s="1278">
        <f t="shared" si="444"/>
        <v>600000</v>
      </c>
      <c r="N545" s="1274">
        <f>+N546</f>
        <v>0</v>
      </c>
      <c r="O545" s="1279">
        <f t="shared" si="432"/>
        <v>0</v>
      </c>
      <c r="P545" s="1109">
        <f>+P546</f>
        <v>0</v>
      </c>
      <c r="Q545" s="1279">
        <f t="shared" si="433"/>
        <v>0</v>
      </c>
      <c r="R545" s="821">
        <f t="shared" si="445"/>
        <v>-600000</v>
      </c>
      <c r="S545" s="2769"/>
      <c r="T545" s="537"/>
    </row>
    <row r="546" spans="1:20" ht="13.5" thickBot="1" x14ac:dyDescent="0.25">
      <c r="A546" s="2767"/>
      <c r="B546" s="780" t="s">
        <v>5</v>
      </c>
      <c r="C546" s="2772"/>
      <c r="D546" s="718">
        <f>+E546+F546+G546+H546</f>
        <v>1200000</v>
      </c>
      <c r="E546" s="719">
        <v>0</v>
      </c>
      <c r="F546" s="719">
        <v>0</v>
      </c>
      <c r="G546" s="720">
        <v>600000</v>
      </c>
      <c r="H546" s="720">
        <v>600000</v>
      </c>
      <c r="I546" s="718">
        <f>+J546+K546+L546+M546</f>
        <v>1200000</v>
      </c>
      <c r="J546" s="719">
        <v>0</v>
      </c>
      <c r="K546" s="719">
        <v>0</v>
      </c>
      <c r="L546" s="720">
        <v>600000</v>
      </c>
      <c r="M546" s="1116">
        <v>600000</v>
      </c>
      <c r="N546" s="1275">
        <f>J546+K546+P546</f>
        <v>0</v>
      </c>
      <c r="O546" s="1280">
        <f t="shared" si="432"/>
        <v>0</v>
      </c>
      <c r="P546" s="720">
        <v>0</v>
      </c>
      <c r="Q546" s="1280">
        <f t="shared" si="433"/>
        <v>0</v>
      </c>
      <c r="R546" s="720">
        <f>+P546-L546</f>
        <v>-600000</v>
      </c>
      <c r="S546" s="2770"/>
      <c r="T546" s="537"/>
    </row>
    <row r="547" spans="1:20" ht="17.25" customHeight="1" x14ac:dyDescent="0.2">
      <c r="A547" s="2765" t="s">
        <v>64</v>
      </c>
      <c r="B547" s="746" t="s">
        <v>316</v>
      </c>
      <c r="C547" s="676" t="s">
        <v>233</v>
      </c>
      <c r="D547" s="677"/>
      <c r="E547" s="1257"/>
      <c r="F547" s="1257"/>
      <c r="G547" s="1257"/>
      <c r="H547" s="813"/>
      <c r="I547" s="680"/>
      <c r="J547" s="678"/>
      <c r="K547" s="678"/>
      <c r="L547" s="678"/>
      <c r="M547" s="679"/>
      <c r="N547" s="680"/>
      <c r="O547" s="681"/>
      <c r="P547" s="678"/>
      <c r="Q547" s="681"/>
      <c r="R547" s="678"/>
      <c r="S547" s="2768" t="s">
        <v>118</v>
      </c>
      <c r="T547" s="537"/>
    </row>
    <row r="548" spans="1:20" x14ac:dyDescent="0.2">
      <c r="A548" s="2766"/>
      <c r="B548" s="565" t="s">
        <v>3</v>
      </c>
      <c r="C548" s="566"/>
      <c r="D548" s="817">
        <f>+D549</f>
        <v>82520460</v>
      </c>
      <c r="E548" s="815">
        <f t="shared" ref="E548:H549" si="446">+E549</f>
        <v>16277106</v>
      </c>
      <c r="F548" s="815">
        <f t="shared" si="446"/>
        <v>10500000</v>
      </c>
      <c r="G548" s="815">
        <f t="shared" si="446"/>
        <v>13364000</v>
      </c>
      <c r="H548" s="815">
        <f t="shared" si="446"/>
        <v>42379354</v>
      </c>
      <c r="I548" s="817">
        <f>+I549</f>
        <v>82520460</v>
      </c>
      <c r="J548" s="815">
        <f t="shared" ref="J548:M549" si="447">+J549</f>
        <v>16277106</v>
      </c>
      <c r="K548" s="815">
        <f t="shared" si="447"/>
        <v>10500000</v>
      </c>
      <c r="L548" s="815">
        <f t="shared" si="447"/>
        <v>13364000</v>
      </c>
      <c r="M548" s="816">
        <f t="shared" si="447"/>
        <v>42379354</v>
      </c>
      <c r="N548" s="1221">
        <f>+N549</f>
        <v>38849185</v>
      </c>
      <c r="O548" s="1258">
        <f t="shared" si="432"/>
        <v>47.078245807161032</v>
      </c>
      <c r="P548" s="815">
        <f>+P549</f>
        <v>12072079</v>
      </c>
      <c r="Q548" s="1258">
        <f t="shared" si="433"/>
        <v>90.332826997904817</v>
      </c>
      <c r="R548" s="815">
        <f t="shared" ref="R548:R549" si="448">+P548-L548</f>
        <v>-1291921</v>
      </c>
      <c r="S548" s="2769"/>
      <c r="T548" s="537"/>
    </row>
    <row r="549" spans="1:20" x14ac:dyDescent="0.2">
      <c r="A549" s="2766"/>
      <c r="B549" s="819" t="s">
        <v>18</v>
      </c>
      <c r="C549" s="2771" t="s">
        <v>46</v>
      </c>
      <c r="D549" s="820">
        <f>+D550</f>
        <v>82520460</v>
      </c>
      <c r="E549" s="821">
        <f t="shared" si="446"/>
        <v>16277106</v>
      </c>
      <c r="F549" s="821">
        <f t="shared" si="446"/>
        <v>10500000</v>
      </c>
      <c r="G549" s="821">
        <f t="shared" si="446"/>
        <v>13364000</v>
      </c>
      <c r="H549" s="821">
        <f t="shared" si="446"/>
        <v>42379354</v>
      </c>
      <c r="I549" s="820">
        <f>+I550</f>
        <v>82520460</v>
      </c>
      <c r="J549" s="821">
        <f t="shared" si="447"/>
        <v>16277106</v>
      </c>
      <c r="K549" s="821">
        <f t="shared" si="447"/>
        <v>10500000</v>
      </c>
      <c r="L549" s="821">
        <f t="shared" si="447"/>
        <v>13364000</v>
      </c>
      <c r="M549" s="822">
        <f t="shared" si="447"/>
        <v>42379354</v>
      </c>
      <c r="N549" s="1226">
        <f>+N550</f>
        <v>38849185</v>
      </c>
      <c r="O549" s="1259">
        <f t="shared" si="432"/>
        <v>47.078245807161032</v>
      </c>
      <c r="P549" s="821">
        <f>+P550</f>
        <v>12072079</v>
      </c>
      <c r="Q549" s="1259">
        <f t="shared" si="433"/>
        <v>90.332826997904817</v>
      </c>
      <c r="R549" s="821">
        <f t="shared" si="448"/>
        <v>-1291921</v>
      </c>
      <c r="S549" s="2769"/>
      <c r="T549" s="537"/>
    </row>
    <row r="550" spans="1:20" ht="13.5" thickBot="1" x14ac:dyDescent="0.25">
      <c r="A550" s="2767"/>
      <c r="B550" s="780" t="s">
        <v>5</v>
      </c>
      <c r="C550" s="2772"/>
      <c r="D550" s="718">
        <f>+E550+F550+G550+H550</f>
        <v>82520460</v>
      </c>
      <c r="E550" s="720">
        <v>16277106</v>
      </c>
      <c r="F550" s="720">
        <v>10500000</v>
      </c>
      <c r="G550" s="720">
        <f>13364000</f>
        <v>13364000</v>
      </c>
      <c r="H550" s="720">
        <f>13738192+14122861+14518301</f>
        <v>42379354</v>
      </c>
      <c r="I550" s="718">
        <f>+J550+K550+L550+M550</f>
        <v>82520460</v>
      </c>
      <c r="J550" s="720">
        <v>16277106</v>
      </c>
      <c r="K550" s="720">
        <v>10500000</v>
      </c>
      <c r="L550" s="720">
        <f>13364000</f>
        <v>13364000</v>
      </c>
      <c r="M550" s="1116">
        <f>13738192+14122861+14518301</f>
        <v>42379354</v>
      </c>
      <c r="N550" s="1281">
        <f>J550+K550+P550</f>
        <v>38849185</v>
      </c>
      <c r="O550" s="1261">
        <f t="shared" si="432"/>
        <v>47.078245807161032</v>
      </c>
      <c r="P550" s="786">
        <v>12072079</v>
      </c>
      <c r="Q550" s="1261">
        <f t="shared" si="433"/>
        <v>90.332826997904817</v>
      </c>
      <c r="R550" s="720">
        <f>+P550-L550</f>
        <v>-1291921</v>
      </c>
      <c r="S550" s="2770"/>
      <c r="T550" s="537"/>
    </row>
    <row r="551" spans="1:20" ht="29.25" customHeight="1" x14ac:dyDescent="0.2">
      <c r="A551" s="2765" t="s">
        <v>65</v>
      </c>
      <c r="B551" s="675" t="s">
        <v>317</v>
      </c>
      <c r="C551" s="676" t="s">
        <v>233</v>
      </c>
      <c r="D551" s="677"/>
      <c r="E551" s="1257"/>
      <c r="F551" s="1257"/>
      <c r="G551" s="1257"/>
      <c r="H551" s="813"/>
      <c r="I551" s="680"/>
      <c r="J551" s="678"/>
      <c r="K551" s="678"/>
      <c r="L551" s="678"/>
      <c r="M551" s="679"/>
      <c r="N551" s="680"/>
      <c r="O551" s="681"/>
      <c r="P551" s="678"/>
      <c r="Q551" s="681"/>
      <c r="R551" s="678"/>
      <c r="S551" s="2768" t="s">
        <v>118</v>
      </c>
      <c r="T551" s="537"/>
    </row>
    <row r="552" spans="1:20" x14ac:dyDescent="0.2">
      <c r="A552" s="2766"/>
      <c r="B552" s="565" t="s">
        <v>3</v>
      </c>
      <c r="C552" s="566"/>
      <c r="D552" s="817">
        <f>+D553</f>
        <v>5485126</v>
      </c>
      <c r="E552" s="815">
        <f t="shared" ref="E552:H553" si="449">+E553</f>
        <v>806409</v>
      </c>
      <c r="F552" s="815">
        <f t="shared" si="449"/>
        <v>846730</v>
      </c>
      <c r="G552" s="815">
        <f t="shared" si="449"/>
        <v>889066</v>
      </c>
      <c r="H552" s="815">
        <f t="shared" si="449"/>
        <v>2942921</v>
      </c>
      <c r="I552" s="817">
        <f>+I553</f>
        <v>5485126</v>
      </c>
      <c r="J552" s="815">
        <f t="shared" ref="J552:M553" si="450">+J553</f>
        <v>806409</v>
      </c>
      <c r="K552" s="815">
        <f t="shared" si="450"/>
        <v>846730</v>
      </c>
      <c r="L552" s="815">
        <f t="shared" si="450"/>
        <v>889066</v>
      </c>
      <c r="M552" s="816">
        <f t="shared" si="450"/>
        <v>2942921</v>
      </c>
      <c r="N552" s="1221">
        <f>+N553</f>
        <v>1817895</v>
      </c>
      <c r="O552" s="1258">
        <f t="shared" si="432"/>
        <v>33.142265100200071</v>
      </c>
      <c r="P552" s="815">
        <f>+P553</f>
        <v>164756</v>
      </c>
      <c r="Q552" s="1258">
        <f t="shared" si="433"/>
        <v>18.531357626992822</v>
      </c>
      <c r="R552" s="815">
        <f t="shared" ref="R552:R553" si="451">+P552-L552</f>
        <v>-724310</v>
      </c>
      <c r="S552" s="2769"/>
      <c r="T552" s="537"/>
    </row>
    <row r="553" spans="1:20" x14ac:dyDescent="0.2">
      <c r="A553" s="2766"/>
      <c r="B553" s="819" t="s">
        <v>18</v>
      </c>
      <c r="C553" s="2771" t="s">
        <v>46</v>
      </c>
      <c r="D553" s="820">
        <f>+D554</f>
        <v>5485126</v>
      </c>
      <c r="E553" s="821">
        <f t="shared" si="449"/>
        <v>806409</v>
      </c>
      <c r="F553" s="821">
        <f t="shared" si="449"/>
        <v>846730</v>
      </c>
      <c r="G553" s="821">
        <f t="shared" si="449"/>
        <v>889066</v>
      </c>
      <c r="H553" s="821">
        <f t="shared" si="449"/>
        <v>2942921</v>
      </c>
      <c r="I553" s="820">
        <f>+I554</f>
        <v>5485126</v>
      </c>
      <c r="J553" s="821">
        <f t="shared" si="450"/>
        <v>806409</v>
      </c>
      <c r="K553" s="821">
        <f t="shared" si="450"/>
        <v>846730</v>
      </c>
      <c r="L553" s="821">
        <f t="shared" si="450"/>
        <v>889066</v>
      </c>
      <c r="M553" s="822">
        <f t="shared" si="450"/>
        <v>2942921</v>
      </c>
      <c r="N553" s="1226">
        <f>+N554</f>
        <v>1817895</v>
      </c>
      <c r="O553" s="1259">
        <f t="shared" si="432"/>
        <v>33.142265100200071</v>
      </c>
      <c r="P553" s="821">
        <f>+P554</f>
        <v>164756</v>
      </c>
      <c r="Q553" s="1259">
        <f t="shared" si="433"/>
        <v>18.531357626992822</v>
      </c>
      <c r="R553" s="821">
        <f t="shared" si="451"/>
        <v>-724310</v>
      </c>
      <c r="S553" s="2769"/>
      <c r="T553" s="537"/>
    </row>
    <row r="554" spans="1:20" ht="13.5" thickBot="1" x14ac:dyDescent="0.25">
      <c r="A554" s="2767"/>
      <c r="B554" s="780" t="s">
        <v>5</v>
      </c>
      <c r="C554" s="2772"/>
      <c r="D554" s="718">
        <f>+E554+F554+G554+H554</f>
        <v>5485126</v>
      </c>
      <c r="E554" s="720">
        <v>806409</v>
      </c>
      <c r="F554" s="720">
        <v>846730</v>
      </c>
      <c r="G554" s="720">
        <v>889066</v>
      </c>
      <c r="H554" s="720">
        <f>933520+980196+1029205</f>
        <v>2942921</v>
      </c>
      <c r="I554" s="718">
        <f>+J554+K554+L554+M554</f>
        <v>5485126</v>
      </c>
      <c r="J554" s="720">
        <v>806409</v>
      </c>
      <c r="K554" s="720">
        <v>846730</v>
      </c>
      <c r="L554" s="720">
        <v>889066</v>
      </c>
      <c r="M554" s="1116">
        <f>933520+980196+1029205</f>
        <v>2942921</v>
      </c>
      <c r="N554" s="1281">
        <f>J554+K554+P554</f>
        <v>1817895</v>
      </c>
      <c r="O554" s="1261">
        <f t="shared" si="432"/>
        <v>33.142265100200071</v>
      </c>
      <c r="P554" s="786">
        <v>164756</v>
      </c>
      <c r="Q554" s="1261">
        <f t="shared" si="433"/>
        <v>18.531357626992822</v>
      </c>
      <c r="R554" s="720">
        <f>+P554-L554</f>
        <v>-724310</v>
      </c>
      <c r="S554" s="2770"/>
      <c r="T554" s="537"/>
    </row>
    <row r="555" spans="1:20" ht="12" customHeight="1" x14ac:dyDescent="0.2">
      <c r="T555" s="537"/>
    </row>
    <row r="556" spans="1:20" s="547" customFormat="1" ht="12" customHeight="1" x14ac:dyDescent="0.2">
      <c r="C556" s="1283"/>
      <c r="S556" s="1284"/>
      <c r="T556" s="537"/>
    </row>
    <row r="557" spans="1:20" ht="12.75" customHeight="1" x14ac:dyDescent="0.2">
      <c r="T557" s="537"/>
    </row>
    <row r="558" spans="1:20" ht="13.5" customHeight="1" x14ac:dyDescent="0.2">
      <c r="T558" s="537"/>
    </row>
    <row r="559" spans="1:20" ht="12" customHeight="1" x14ac:dyDescent="0.2">
      <c r="T559" s="537"/>
    </row>
    <row r="560" spans="1:20" ht="12" customHeight="1" x14ac:dyDescent="0.2">
      <c r="T560" s="537"/>
    </row>
    <row r="561" spans="5:20" ht="36" customHeight="1" x14ac:dyDescent="0.2">
      <c r="T561" s="537"/>
    </row>
    <row r="562" spans="5:20" ht="13.5" customHeight="1" x14ac:dyDescent="0.2">
      <c r="T562" s="537"/>
    </row>
    <row r="563" spans="5:20" ht="13.5" customHeight="1" x14ac:dyDescent="0.2">
      <c r="T563" s="537"/>
    </row>
    <row r="564" spans="5:20" ht="12.75" customHeight="1" x14ac:dyDescent="0.2">
      <c r="T564" s="537"/>
    </row>
    <row r="565" spans="5:20" ht="11.25" customHeight="1" x14ac:dyDescent="0.2">
      <c r="T565" s="537"/>
    </row>
    <row r="566" spans="5:20" ht="13.5" customHeight="1" x14ac:dyDescent="0.2">
      <c r="T566" s="537"/>
    </row>
    <row r="567" spans="5:20" ht="13.5" customHeight="1" x14ac:dyDescent="0.2">
      <c r="T567" s="537"/>
    </row>
    <row r="568" spans="5:20" ht="12" customHeight="1" x14ac:dyDescent="0.2">
      <c r="T568" s="537"/>
    </row>
    <row r="569" spans="5:20" ht="13.5" customHeight="1" x14ac:dyDescent="0.2">
      <c r="T569" s="537"/>
    </row>
    <row r="572" spans="5:20" x14ac:dyDescent="0.2">
      <c r="E572" s="537"/>
      <c r="G572" s="537"/>
      <c r="H572" s="537"/>
    </row>
    <row r="573" spans="5:20" x14ac:dyDescent="0.2">
      <c r="E573" s="537"/>
    </row>
    <row r="574" spans="5:20" x14ac:dyDescent="0.2">
      <c r="E574" s="537"/>
      <c r="G574" s="537"/>
      <c r="H574" s="537"/>
    </row>
  </sheetData>
  <mergeCells count="245">
    <mergeCell ref="A527:A534"/>
    <mergeCell ref="S527:S531"/>
    <mergeCell ref="C529:C531"/>
    <mergeCell ref="S532:S534"/>
    <mergeCell ref="C533:C534"/>
    <mergeCell ref="A503:A506"/>
    <mergeCell ref="S503:S506"/>
    <mergeCell ref="C505:C506"/>
    <mergeCell ref="A507:A510"/>
    <mergeCell ref="S507:S510"/>
    <mergeCell ref="C509:C510"/>
    <mergeCell ref="S515:S519"/>
    <mergeCell ref="S520:S522"/>
    <mergeCell ref="A523:A526"/>
    <mergeCell ref="S523:S526"/>
    <mergeCell ref="C525:C526"/>
    <mergeCell ref="A511:A514"/>
    <mergeCell ref="S511:S514"/>
    <mergeCell ref="C513:C514"/>
    <mergeCell ref="A515:A522"/>
    <mergeCell ref="C517:C519"/>
    <mergeCell ref="C521:C522"/>
    <mergeCell ref="C488:C490"/>
    <mergeCell ref="A491:A494"/>
    <mergeCell ref="S491:S494"/>
    <mergeCell ref="C493:C494"/>
    <mergeCell ref="A495:A502"/>
    <mergeCell ref="S495:S502"/>
    <mergeCell ref="C497:C499"/>
    <mergeCell ref="C501:C502"/>
    <mergeCell ref="A481:A490"/>
    <mergeCell ref="S481:S490"/>
    <mergeCell ref="C483:C486"/>
    <mergeCell ref="S467:S480"/>
    <mergeCell ref="C471:C475"/>
    <mergeCell ref="C477:C480"/>
    <mergeCell ref="S420:S433"/>
    <mergeCell ref="C422:C427"/>
    <mergeCell ref="C429:C433"/>
    <mergeCell ref="A434:A447"/>
    <mergeCell ref="S434:S447"/>
    <mergeCell ref="C436:C441"/>
    <mergeCell ref="C443:C447"/>
    <mergeCell ref="A457:A465"/>
    <mergeCell ref="S457:S465"/>
    <mergeCell ref="C459:C462"/>
    <mergeCell ref="C464:C465"/>
    <mergeCell ref="A448:A456"/>
    <mergeCell ref="S448:S456"/>
    <mergeCell ref="C450:C453"/>
    <mergeCell ref="C455:C456"/>
    <mergeCell ref="A402:A410"/>
    <mergeCell ref="S402:S410"/>
    <mergeCell ref="C404:C407"/>
    <mergeCell ref="C409:C410"/>
    <mergeCell ref="A411:A419"/>
    <mergeCell ref="I411:M411"/>
    <mergeCell ref="S411:S419"/>
    <mergeCell ref="C413:C416"/>
    <mergeCell ref="C418:C419"/>
    <mergeCell ref="A384:A392"/>
    <mergeCell ref="S384:S392"/>
    <mergeCell ref="C386:C389"/>
    <mergeCell ref="C391:C392"/>
    <mergeCell ref="A393:A401"/>
    <mergeCell ref="S393:S401"/>
    <mergeCell ref="C395:C398"/>
    <mergeCell ref="C400:C401"/>
    <mergeCell ref="A366:A374"/>
    <mergeCell ref="S366:S374"/>
    <mergeCell ref="C368:C371"/>
    <mergeCell ref="C373:C374"/>
    <mergeCell ref="A375:A383"/>
    <mergeCell ref="S375:S383"/>
    <mergeCell ref="C377:C380"/>
    <mergeCell ref="C382:C383"/>
    <mergeCell ref="A347:A358"/>
    <mergeCell ref="S347:S358"/>
    <mergeCell ref="C349:C353"/>
    <mergeCell ref="C355:C358"/>
    <mergeCell ref="A359:A365"/>
    <mergeCell ref="S359:S365"/>
    <mergeCell ref="C361:C362"/>
    <mergeCell ref="C364:C365"/>
    <mergeCell ref="A329:A337"/>
    <mergeCell ref="S329:S337"/>
    <mergeCell ref="C331:C334"/>
    <mergeCell ref="C336:C337"/>
    <mergeCell ref="A338:A346"/>
    <mergeCell ref="S338:S346"/>
    <mergeCell ref="C340:C343"/>
    <mergeCell ref="C345:C346"/>
    <mergeCell ref="A311:A319"/>
    <mergeCell ref="S311:S319"/>
    <mergeCell ref="C313:C316"/>
    <mergeCell ref="C318:C319"/>
    <mergeCell ref="A320:A328"/>
    <mergeCell ref="S320:S328"/>
    <mergeCell ref="C322:C325"/>
    <mergeCell ref="C327:C328"/>
    <mergeCell ref="A293:A301"/>
    <mergeCell ref="S293:S301"/>
    <mergeCell ref="C295:C298"/>
    <mergeCell ref="C300:C301"/>
    <mergeCell ref="A302:A310"/>
    <mergeCell ref="S302:S310"/>
    <mergeCell ref="C304:C307"/>
    <mergeCell ref="C309:C310"/>
    <mergeCell ref="A275:A283"/>
    <mergeCell ref="S275:S283"/>
    <mergeCell ref="C277:C280"/>
    <mergeCell ref="C282:C283"/>
    <mergeCell ref="A284:A292"/>
    <mergeCell ref="S284:S292"/>
    <mergeCell ref="C286:C289"/>
    <mergeCell ref="C291:C292"/>
    <mergeCell ref="A257:A265"/>
    <mergeCell ref="S257:S265"/>
    <mergeCell ref="C259:C262"/>
    <mergeCell ref="C264:C265"/>
    <mergeCell ref="A266:A274"/>
    <mergeCell ref="S266:S274"/>
    <mergeCell ref="C268:C271"/>
    <mergeCell ref="C273:C274"/>
    <mergeCell ref="A236:A244"/>
    <mergeCell ref="S236:S244"/>
    <mergeCell ref="C238:C241"/>
    <mergeCell ref="C243:C244"/>
    <mergeCell ref="A245:A256"/>
    <mergeCell ref="S245:S256"/>
    <mergeCell ref="C247:C251"/>
    <mergeCell ref="C253:C256"/>
    <mergeCell ref="A215:A223"/>
    <mergeCell ref="S215:S223"/>
    <mergeCell ref="C217:C220"/>
    <mergeCell ref="C222:C223"/>
    <mergeCell ref="A224:A235"/>
    <mergeCell ref="S224:S235"/>
    <mergeCell ref="C226:C230"/>
    <mergeCell ref="C232:C235"/>
    <mergeCell ref="A191:A202"/>
    <mergeCell ref="S191:S202"/>
    <mergeCell ref="C193:C197"/>
    <mergeCell ref="C199:C202"/>
    <mergeCell ref="A203:A214"/>
    <mergeCell ref="S203:S214"/>
    <mergeCell ref="C205:C209"/>
    <mergeCell ref="C211:C214"/>
    <mergeCell ref="A173:A181"/>
    <mergeCell ref="S173:S181"/>
    <mergeCell ref="C175:C178"/>
    <mergeCell ref="C180:C181"/>
    <mergeCell ref="A182:A190"/>
    <mergeCell ref="S182:S190"/>
    <mergeCell ref="C184:C187"/>
    <mergeCell ref="C189:C190"/>
    <mergeCell ref="A161:A172"/>
    <mergeCell ref="S161:S172"/>
    <mergeCell ref="C163:C167"/>
    <mergeCell ref="C169:C172"/>
    <mergeCell ref="A126:A139"/>
    <mergeCell ref="S127:S133"/>
    <mergeCell ref="C128:C133"/>
    <mergeCell ref="S134:S139"/>
    <mergeCell ref="C135:C139"/>
    <mergeCell ref="A140:A151"/>
    <mergeCell ref="S141:S146"/>
    <mergeCell ref="C142:C146"/>
    <mergeCell ref="S147:S151"/>
    <mergeCell ref="C148:C151"/>
    <mergeCell ref="A110:A125"/>
    <mergeCell ref="S111:S118"/>
    <mergeCell ref="C112:C118"/>
    <mergeCell ref="S119:S125"/>
    <mergeCell ref="C123:C125"/>
    <mergeCell ref="A152:A160"/>
    <mergeCell ref="S152:S160"/>
    <mergeCell ref="C154:C157"/>
    <mergeCell ref="C159:C160"/>
    <mergeCell ref="A80:A93"/>
    <mergeCell ref="S81:S87"/>
    <mergeCell ref="C82:C87"/>
    <mergeCell ref="S88:S93"/>
    <mergeCell ref="C91:C93"/>
    <mergeCell ref="A94:A109"/>
    <mergeCell ref="S95:S102"/>
    <mergeCell ref="C96:C102"/>
    <mergeCell ref="S103:S109"/>
    <mergeCell ref="C107:C109"/>
    <mergeCell ref="A50:A63"/>
    <mergeCell ref="S51:S57"/>
    <mergeCell ref="C52:C57"/>
    <mergeCell ref="S58:S63"/>
    <mergeCell ref="C61:C63"/>
    <mergeCell ref="A64:A79"/>
    <mergeCell ref="S65:S72"/>
    <mergeCell ref="C66:C72"/>
    <mergeCell ref="S73:S79"/>
    <mergeCell ref="C77:C79"/>
    <mergeCell ref="A14:A33"/>
    <mergeCell ref="S14:S33"/>
    <mergeCell ref="C15:C24"/>
    <mergeCell ref="C26:C33"/>
    <mergeCell ref="A34:A49"/>
    <mergeCell ref="S34:S49"/>
    <mergeCell ref="M7:M9"/>
    <mergeCell ref="N7:N9"/>
    <mergeCell ref="P8:P9"/>
    <mergeCell ref="Q8:Q9"/>
    <mergeCell ref="R8:R9"/>
    <mergeCell ref="I7:I9"/>
    <mergeCell ref="J7:J9"/>
    <mergeCell ref="K7:K9"/>
    <mergeCell ref="L7:L9"/>
    <mergeCell ref="A4:S4"/>
    <mergeCell ref="A6:A9"/>
    <mergeCell ref="B6:B9"/>
    <mergeCell ref="C6:C9"/>
    <mergeCell ref="D6:H6"/>
    <mergeCell ref="I6:M6"/>
    <mergeCell ref="D7:D9"/>
    <mergeCell ref="E7:E9"/>
    <mergeCell ref="F7:F9"/>
    <mergeCell ref="N6:R6"/>
    <mergeCell ref="G7:H7"/>
    <mergeCell ref="G8:G9"/>
    <mergeCell ref="H8:H9"/>
    <mergeCell ref="S6:S9"/>
    <mergeCell ref="O8:O9"/>
    <mergeCell ref="O7:R7"/>
    <mergeCell ref="A547:A550"/>
    <mergeCell ref="S547:S550"/>
    <mergeCell ref="C549:C550"/>
    <mergeCell ref="A551:A554"/>
    <mergeCell ref="S551:S554"/>
    <mergeCell ref="C553:C554"/>
    <mergeCell ref="A535:A538"/>
    <mergeCell ref="S535:S538"/>
    <mergeCell ref="C537:C538"/>
    <mergeCell ref="A539:A542"/>
    <mergeCell ref="S539:S542"/>
    <mergeCell ref="C541:C542"/>
    <mergeCell ref="A543:A546"/>
    <mergeCell ref="S543:S546"/>
    <mergeCell ref="C545:C546"/>
  </mergeCells>
  <printOptions horizontalCentered="1"/>
  <pageMargins left="0.23622047244094491" right="0.19685039370078741" top="0.47244094488188981" bottom="0.31496062992125984" header="0.15748031496062992" footer="0.15748031496062992"/>
  <pageSetup paperSize="9" scale="60" firstPageNumber="62" orientation="portrait" useFirstPageNumber="1" r:id="rId1"/>
  <headerFooter alignWithMargins="0">
    <oddHeader>&amp;C&amp;"Arial,Kursywa"Informacja o przebiegu wykonania budżetu Województwa Zachodniopomorskiego za I kwartał 2013 roku - załączniki
____________________________________________________________________________________________________________________________</oddHeader>
    <oddFooter>&amp;C&amp;8&amp;P</oddFooter>
  </headerFooter>
  <rowBreaks count="6" manualBreakCount="6">
    <brk id="93" max="18" man="1"/>
    <brk id="172" max="18" man="1"/>
    <brk id="244" max="18" man="1"/>
    <brk id="319" max="18" man="1"/>
    <brk id="401" max="18" man="1"/>
    <brk id="465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1:BS190"/>
  <sheetViews>
    <sheetView showGridLines="0" view="pageBreakPreview" zoomScaleNormal="120" zoomScaleSheetLayoutView="100" workbookViewId="0">
      <pane xSplit="3" ySplit="8" topLeftCell="D9" activePane="bottomRight" state="frozen"/>
      <selection activeCell="A5" sqref="A5:Q5"/>
      <selection pane="topRight" activeCell="A5" sqref="A5:Q5"/>
      <selection pane="bottomLeft" activeCell="A5" sqref="A5:Q5"/>
      <selection pane="bottomRight" activeCell="T1" sqref="T1:W1048576"/>
    </sheetView>
  </sheetViews>
  <sheetFormatPr defaultRowHeight="12.75" x14ac:dyDescent="0.2"/>
  <cols>
    <col min="1" max="1" width="4" style="493" customWidth="1"/>
    <col min="2" max="2" width="51.28515625" style="493" customWidth="1"/>
    <col min="3" max="3" width="9.42578125" style="494" customWidth="1"/>
    <col min="4" max="4" width="13" style="493" customWidth="1"/>
    <col min="5" max="5" width="21.85546875" style="493" hidden="1" customWidth="1"/>
    <col min="6" max="6" width="15.140625" style="493" hidden="1" customWidth="1"/>
    <col min="7" max="7" width="12.140625" style="493" customWidth="1"/>
    <col min="8" max="8" width="13.7109375" style="493" customWidth="1"/>
    <col min="9" max="9" width="12.28515625" style="493" hidden="1" customWidth="1"/>
    <col min="10" max="10" width="15.5703125" style="493" hidden="1" customWidth="1"/>
    <col min="11" max="11" width="13" style="493" hidden="1" customWidth="1"/>
    <col min="12" max="12" width="11.28515625" style="493" hidden="1" customWidth="1"/>
    <col min="13" max="13" width="12.7109375" style="493" hidden="1" customWidth="1"/>
    <col min="14" max="14" width="12.85546875" style="493" customWidth="1"/>
    <col min="15" max="15" width="10.5703125" style="493" customWidth="1"/>
    <col min="16" max="16" width="11.42578125" style="493" customWidth="1"/>
    <col min="17" max="17" width="12" style="493" customWidth="1"/>
    <col min="18" max="18" width="12.5703125" style="493" hidden="1" customWidth="1"/>
    <col min="19" max="19" width="13.85546875" style="494" customWidth="1"/>
    <col min="20" max="20" width="14" style="493" customWidth="1"/>
    <col min="21" max="21" width="13" style="493" customWidth="1"/>
    <col min="22" max="22" width="12.140625" style="493" customWidth="1"/>
    <col min="23" max="23" width="9.5703125" style="493" customWidth="1"/>
    <col min="24" max="24" width="14.28515625" style="493" customWidth="1"/>
    <col min="25" max="25" width="12" style="493" customWidth="1"/>
    <col min="26" max="27" width="9.140625" style="493"/>
    <col min="28" max="28" width="12.5703125" style="493" customWidth="1"/>
    <col min="29" max="16384" width="9.140625" style="493"/>
  </cols>
  <sheetData>
    <row r="1" spans="1:71" ht="18.75" x14ac:dyDescent="0.3">
      <c r="A1" s="492"/>
      <c r="N1" s="9"/>
      <c r="O1" s="9"/>
      <c r="P1" s="9"/>
      <c r="Q1" s="9" t="s">
        <v>368</v>
      </c>
      <c r="S1" s="1285"/>
      <c r="T1" s="1286"/>
      <c r="U1" s="1287"/>
    </row>
    <row r="2" spans="1:71" ht="33" customHeight="1" x14ac:dyDescent="0.2">
      <c r="A2" s="492"/>
      <c r="N2" s="242"/>
      <c r="S2" s="237"/>
      <c r="T2" s="1287"/>
      <c r="U2" s="1287"/>
    </row>
    <row r="3" spans="1:71" ht="46.5" customHeight="1" thickBot="1" x14ac:dyDescent="0.5">
      <c r="A3" s="2922" t="s">
        <v>305</v>
      </c>
      <c r="B3" s="2923"/>
      <c r="C3" s="2923"/>
      <c r="D3" s="2923"/>
      <c r="E3" s="2923"/>
      <c r="F3" s="2923"/>
      <c r="G3" s="2923"/>
      <c r="H3" s="2923"/>
      <c r="I3" s="2923"/>
      <c r="J3" s="2923"/>
      <c r="K3" s="2923"/>
      <c r="L3" s="2923"/>
      <c r="M3" s="2923"/>
      <c r="N3" s="2923"/>
      <c r="O3" s="2923"/>
      <c r="P3" s="2923"/>
      <c r="Q3" s="2923"/>
      <c r="R3" s="2923"/>
      <c r="S3" s="2923"/>
      <c r="T3" s="1288"/>
    </row>
    <row r="4" spans="1:71" ht="45.75" customHeight="1" thickBot="1" x14ac:dyDescent="0.25">
      <c r="A4" s="2924" t="s">
        <v>32</v>
      </c>
      <c r="B4" s="2925" t="s">
        <v>33</v>
      </c>
      <c r="C4" s="2926" t="s">
        <v>34</v>
      </c>
      <c r="D4" s="2717" t="s">
        <v>361</v>
      </c>
      <c r="E4" s="2718"/>
      <c r="F4" s="2718"/>
      <c r="G4" s="2718"/>
      <c r="H4" s="2719"/>
      <c r="I4" s="2927"/>
      <c r="J4" s="2928"/>
      <c r="K4" s="2928"/>
      <c r="L4" s="2928"/>
      <c r="M4" s="2929"/>
      <c r="N4" s="2930" t="s">
        <v>214</v>
      </c>
      <c r="O4" s="2718"/>
      <c r="P4" s="2718"/>
      <c r="Q4" s="2718"/>
      <c r="R4" s="2718"/>
      <c r="S4" s="2719"/>
      <c r="T4" s="1289"/>
    </row>
    <row r="5" spans="1:71" ht="26.25" customHeight="1" thickBot="1" x14ac:dyDescent="0.25">
      <c r="A5" s="2924"/>
      <c r="B5" s="2925"/>
      <c r="C5" s="2926"/>
      <c r="D5" s="2931" t="s">
        <v>0</v>
      </c>
      <c r="E5" s="2934" t="s">
        <v>215</v>
      </c>
      <c r="F5" s="2935" t="s">
        <v>216</v>
      </c>
      <c r="G5" s="2917" t="s">
        <v>349</v>
      </c>
      <c r="H5" s="2918"/>
      <c r="I5" s="2937" t="s">
        <v>0</v>
      </c>
      <c r="J5" s="2919" t="s">
        <v>215</v>
      </c>
      <c r="K5" s="2940" t="s">
        <v>216</v>
      </c>
      <c r="L5" s="2919" t="s">
        <v>308</v>
      </c>
      <c r="M5" s="2943" t="s">
        <v>304</v>
      </c>
      <c r="N5" s="2944" t="s">
        <v>217</v>
      </c>
      <c r="O5" s="2720" t="s">
        <v>359</v>
      </c>
      <c r="P5" s="2721"/>
      <c r="Q5" s="2721"/>
      <c r="R5" s="2788"/>
      <c r="S5" s="2945" t="s">
        <v>35</v>
      </c>
      <c r="T5" s="1290"/>
    </row>
    <row r="6" spans="1:71" ht="38.25" customHeight="1" thickBot="1" x14ac:dyDescent="0.25">
      <c r="A6" s="2924"/>
      <c r="B6" s="2925"/>
      <c r="C6" s="2926"/>
      <c r="D6" s="2932"/>
      <c r="E6" s="2932"/>
      <c r="F6" s="2935"/>
      <c r="G6" s="2753" t="s">
        <v>358</v>
      </c>
      <c r="H6" s="2761" t="s">
        <v>304</v>
      </c>
      <c r="I6" s="2938"/>
      <c r="J6" s="2920"/>
      <c r="K6" s="2941"/>
      <c r="L6" s="2920"/>
      <c r="M6" s="2733"/>
      <c r="N6" s="2753"/>
      <c r="O6" s="2753" t="s">
        <v>355</v>
      </c>
      <c r="P6" s="2709" t="s">
        <v>218</v>
      </c>
      <c r="Q6" s="2709" t="s">
        <v>356</v>
      </c>
      <c r="R6" s="2709" t="s">
        <v>219</v>
      </c>
      <c r="S6" s="2946"/>
      <c r="T6" s="1290"/>
    </row>
    <row r="7" spans="1:71" ht="56.25" customHeight="1" thickBot="1" x14ac:dyDescent="0.25">
      <c r="A7" s="2924"/>
      <c r="B7" s="2925"/>
      <c r="C7" s="2926"/>
      <c r="D7" s="2933"/>
      <c r="E7" s="2933"/>
      <c r="F7" s="2936"/>
      <c r="G7" s="2755"/>
      <c r="H7" s="2762"/>
      <c r="I7" s="2939"/>
      <c r="J7" s="2921"/>
      <c r="K7" s="2942"/>
      <c r="L7" s="2921"/>
      <c r="M7" s="2735"/>
      <c r="N7" s="2755"/>
      <c r="O7" s="2755"/>
      <c r="P7" s="2710"/>
      <c r="Q7" s="2710"/>
      <c r="R7" s="2710"/>
      <c r="S7" s="2787"/>
      <c r="T7" s="1290"/>
    </row>
    <row r="8" spans="1:71" s="508" customFormat="1" ht="13.5" customHeight="1" thickBot="1" x14ac:dyDescent="0.25">
      <c r="A8" s="504">
        <v>1</v>
      </c>
      <c r="B8" s="1291">
        <v>2</v>
      </c>
      <c r="C8" s="258" t="s">
        <v>126</v>
      </c>
      <c r="D8" s="506" t="s">
        <v>127</v>
      </c>
      <c r="E8" s="1292"/>
      <c r="F8" s="1293"/>
      <c r="G8" s="257">
        <v>5</v>
      </c>
      <c r="H8" s="1292">
        <v>6</v>
      </c>
      <c r="I8" s="506">
        <v>7</v>
      </c>
      <c r="J8" s="1294"/>
      <c r="K8" s="1295"/>
      <c r="L8" s="257">
        <v>8</v>
      </c>
      <c r="M8" s="259">
        <v>9</v>
      </c>
      <c r="N8" s="257">
        <v>7</v>
      </c>
      <c r="O8" s="257">
        <v>8</v>
      </c>
      <c r="P8" s="1294">
        <v>9</v>
      </c>
      <c r="Q8" s="257">
        <v>10</v>
      </c>
      <c r="R8" s="1294">
        <v>14</v>
      </c>
      <c r="S8" s="258">
        <v>11</v>
      </c>
      <c r="T8" s="1296"/>
    </row>
    <row r="9" spans="1:71" s="271" customFormat="1" ht="18" customHeight="1" thickBot="1" x14ac:dyDescent="0.25">
      <c r="A9" s="263"/>
      <c r="B9" s="264" t="s">
        <v>220</v>
      </c>
      <c r="C9" s="509"/>
      <c r="D9" s="35">
        <f t="shared" ref="D9:H9" si="0">D10+D11</f>
        <v>118396685</v>
      </c>
      <c r="E9" s="34">
        <f t="shared" si="0"/>
        <v>52453589</v>
      </c>
      <c r="F9" s="34">
        <f t="shared" si="0"/>
        <v>21203722</v>
      </c>
      <c r="G9" s="34">
        <f t="shared" si="0"/>
        <v>20806991</v>
      </c>
      <c r="H9" s="37">
        <f t="shared" si="0"/>
        <v>23932383</v>
      </c>
      <c r="I9" s="35">
        <f t="shared" ref="I9:N9" si="1">I10+I11</f>
        <v>117815854.40000001</v>
      </c>
      <c r="J9" s="34">
        <f t="shared" si="1"/>
        <v>52453589</v>
      </c>
      <c r="K9" s="510">
        <f t="shared" si="1"/>
        <v>20622891.399999999</v>
      </c>
      <c r="L9" s="34">
        <f t="shared" si="1"/>
        <v>20806991</v>
      </c>
      <c r="M9" s="37">
        <f t="shared" si="1"/>
        <v>23932383</v>
      </c>
      <c r="N9" s="35">
        <f t="shared" si="1"/>
        <v>77086139.400000006</v>
      </c>
      <c r="O9" s="156">
        <f>N9/D9*100</f>
        <v>65.108359579493296</v>
      </c>
      <c r="P9" s="36">
        <f>P10+P11</f>
        <v>4009659</v>
      </c>
      <c r="Q9" s="156">
        <f>P9/G9*100</f>
        <v>19.270729727330586</v>
      </c>
      <c r="R9" s="36">
        <f t="shared" ref="R9:R11" si="2">+P9-L9*0.25</f>
        <v>-1192088.75</v>
      </c>
      <c r="S9" s="269"/>
      <c r="T9" s="270"/>
      <c r="U9" s="239"/>
      <c r="V9" s="239"/>
      <c r="W9" s="239"/>
      <c r="X9" s="239"/>
      <c r="Y9" s="239"/>
      <c r="Z9" s="239"/>
      <c r="AA9" s="239"/>
      <c r="AB9" s="239"/>
      <c r="AC9" s="239"/>
      <c r="AD9" s="239"/>
      <c r="AE9" s="239"/>
      <c r="AF9" s="239"/>
      <c r="AG9" s="239"/>
      <c r="AH9" s="239"/>
      <c r="AI9" s="239"/>
      <c r="AJ9" s="239"/>
      <c r="AK9" s="239"/>
      <c r="AL9" s="239"/>
      <c r="AM9" s="239"/>
      <c r="AN9" s="239"/>
      <c r="AO9" s="239"/>
      <c r="AP9" s="239"/>
      <c r="AQ9" s="239"/>
      <c r="AR9" s="239"/>
      <c r="AS9" s="239"/>
      <c r="AT9" s="239"/>
      <c r="AU9" s="239"/>
      <c r="AV9" s="239"/>
      <c r="AW9" s="239"/>
      <c r="AX9" s="239"/>
      <c r="AY9" s="239"/>
      <c r="AZ9" s="239"/>
      <c r="BA9" s="239"/>
      <c r="BB9" s="239"/>
      <c r="BC9" s="239"/>
      <c r="BD9" s="239"/>
      <c r="BE9" s="239"/>
      <c r="BF9" s="239"/>
      <c r="BG9" s="239"/>
      <c r="BH9" s="239"/>
      <c r="BI9" s="239"/>
      <c r="BJ9" s="239"/>
      <c r="BK9" s="239"/>
      <c r="BL9" s="239"/>
      <c r="BM9" s="239"/>
      <c r="BN9" s="239"/>
      <c r="BO9" s="239"/>
      <c r="BP9" s="239"/>
      <c r="BQ9" s="239"/>
      <c r="BR9" s="239"/>
      <c r="BS9" s="239"/>
    </row>
    <row r="10" spans="1:71" s="522" customFormat="1" ht="14.25" customHeight="1" thickTop="1" thickBot="1" x14ac:dyDescent="0.25">
      <c r="A10" s="512"/>
      <c r="B10" s="513" t="s">
        <v>221</v>
      </c>
      <c r="C10" s="514"/>
      <c r="D10" s="44">
        <f t="shared" ref="D10:H10" si="3">D31+D38+D49+D61+D73+D85+D96+D108+D120+D132+D156+D168+D180</f>
        <v>118217179</v>
      </c>
      <c r="E10" s="43">
        <f t="shared" si="3"/>
        <v>52327024</v>
      </c>
      <c r="F10" s="43">
        <f t="shared" si="3"/>
        <v>21203722</v>
      </c>
      <c r="G10" s="43">
        <f t="shared" si="3"/>
        <v>20754050</v>
      </c>
      <c r="H10" s="46">
        <f t="shared" si="3"/>
        <v>23932383</v>
      </c>
      <c r="I10" s="44">
        <f t="shared" ref="I10:N10" si="4">I31+I38+I49+I61+I73+I85+I96+I108+I120+I132+I156+I168+I180</f>
        <v>117636348.40000001</v>
      </c>
      <c r="J10" s="43">
        <f t="shared" si="4"/>
        <v>52327024</v>
      </c>
      <c r="K10" s="517">
        <f t="shared" si="4"/>
        <v>20622891.399999999</v>
      </c>
      <c r="L10" s="43">
        <f t="shared" si="4"/>
        <v>20754050</v>
      </c>
      <c r="M10" s="46">
        <f t="shared" si="4"/>
        <v>23932383</v>
      </c>
      <c r="N10" s="47">
        <f t="shared" si="4"/>
        <v>76959574.400000006</v>
      </c>
      <c r="O10" s="157">
        <f t="shared" ref="O10:O14" si="5">N10/D10*100</f>
        <v>65.100161457921445</v>
      </c>
      <c r="P10" s="45">
        <f t="shared" ref="P10" si="6">P31+P38+P49+P61+P73+P85+P96+P108+P120+P132+P156+P168+P180</f>
        <v>4009659</v>
      </c>
      <c r="Q10" s="157">
        <f>P10/G10*100</f>
        <v>19.319886961821908</v>
      </c>
      <c r="R10" s="45">
        <f t="shared" si="2"/>
        <v>-1178853.5</v>
      </c>
      <c r="S10" s="1297"/>
      <c r="T10" s="521"/>
      <c r="U10" s="250"/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0"/>
      <c r="BL10" s="250"/>
      <c r="BM10" s="250"/>
      <c r="BN10" s="250"/>
      <c r="BO10" s="250"/>
      <c r="BP10" s="250"/>
      <c r="BQ10" s="250"/>
      <c r="BR10" s="250"/>
      <c r="BS10" s="250"/>
    </row>
    <row r="11" spans="1:71" s="271" customFormat="1" ht="14.25" customHeight="1" thickTop="1" thickBot="1" x14ac:dyDescent="0.25">
      <c r="A11" s="272"/>
      <c r="B11" s="523" t="s">
        <v>222</v>
      </c>
      <c r="C11" s="524"/>
      <c r="D11" s="287">
        <f t="shared" ref="D11:H11" si="7">D144</f>
        <v>179506</v>
      </c>
      <c r="E11" s="286">
        <f t="shared" si="7"/>
        <v>126565</v>
      </c>
      <c r="F11" s="286">
        <f t="shared" si="7"/>
        <v>0</v>
      </c>
      <c r="G11" s="286">
        <f t="shared" si="7"/>
        <v>52941</v>
      </c>
      <c r="H11" s="525">
        <f t="shared" si="7"/>
        <v>0</v>
      </c>
      <c r="I11" s="287">
        <f t="shared" ref="I11:N11" si="8">I144</f>
        <v>179506</v>
      </c>
      <c r="J11" s="286">
        <f t="shared" si="8"/>
        <v>126565</v>
      </c>
      <c r="K11" s="526">
        <f t="shared" si="8"/>
        <v>0</v>
      </c>
      <c r="L11" s="286">
        <f t="shared" si="8"/>
        <v>52941</v>
      </c>
      <c r="M11" s="525">
        <f t="shared" si="8"/>
        <v>0</v>
      </c>
      <c r="N11" s="527">
        <f t="shared" si="8"/>
        <v>126565</v>
      </c>
      <c r="O11" s="162">
        <f t="shared" si="5"/>
        <v>70.507392510556755</v>
      </c>
      <c r="P11" s="285">
        <f t="shared" ref="P11" si="9">P144</f>
        <v>0</v>
      </c>
      <c r="Q11" s="162">
        <f t="shared" ref="Q11:Q13" si="10">P11/G11*100</f>
        <v>0</v>
      </c>
      <c r="R11" s="528">
        <f t="shared" si="2"/>
        <v>-13235.25</v>
      </c>
      <c r="S11" s="269"/>
      <c r="T11" s="270"/>
      <c r="U11" s="239"/>
      <c r="V11" s="239"/>
      <c r="W11" s="239"/>
      <c r="X11" s="239"/>
      <c r="Y11" s="239"/>
      <c r="Z11" s="239"/>
      <c r="AA11" s="239"/>
      <c r="AB11" s="239"/>
      <c r="AC11" s="239"/>
      <c r="AD11" s="239"/>
      <c r="AE11" s="239"/>
      <c r="AF11" s="239"/>
      <c r="AG11" s="239"/>
      <c r="AH11" s="239"/>
      <c r="AI11" s="239"/>
      <c r="AJ11" s="239"/>
      <c r="AK11" s="239"/>
      <c r="AL11" s="239"/>
      <c r="AM11" s="239"/>
      <c r="AN11" s="239"/>
      <c r="AO11" s="239"/>
      <c r="AP11" s="239"/>
      <c r="AQ11" s="239"/>
      <c r="AR11" s="239"/>
      <c r="AS11" s="239"/>
      <c r="AT11" s="239"/>
      <c r="AU11" s="239"/>
      <c r="AV11" s="239"/>
      <c r="AW11" s="239"/>
      <c r="AX11" s="239"/>
      <c r="AY11" s="239"/>
      <c r="AZ11" s="239"/>
      <c r="BA11" s="239"/>
      <c r="BB11" s="239"/>
      <c r="BC11" s="239"/>
      <c r="BD11" s="239"/>
      <c r="BE11" s="239"/>
      <c r="BF11" s="239"/>
      <c r="BG11" s="239"/>
      <c r="BH11" s="239"/>
      <c r="BI11" s="239"/>
      <c r="BJ11" s="239"/>
      <c r="BK11" s="239"/>
      <c r="BL11" s="239"/>
      <c r="BM11" s="239"/>
      <c r="BN11" s="239"/>
      <c r="BO11" s="239"/>
      <c r="BP11" s="239"/>
      <c r="BQ11" s="239"/>
      <c r="BR11" s="239"/>
      <c r="BS11" s="239"/>
    </row>
    <row r="12" spans="1:71" ht="15" customHeight="1" x14ac:dyDescent="0.2">
      <c r="A12" s="2954"/>
      <c r="B12" s="529" t="s">
        <v>3</v>
      </c>
      <c r="C12" s="530"/>
      <c r="D12" s="1298">
        <f t="shared" ref="D12" si="11">D13+D16</f>
        <v>118396685</v>
      </c>
      <c r="E12" s="1299">
        <f>E13+E16</f>
        <v>52453589</v>
      </c>
      <c r="F12" s="1299">
        <f>F13+F16</f>
        <v>21203722</v>
      </c>
      <c r="G12" s="1299">
        <f>G13+G16</f>
        <v>20806991</v>
      </c>
      <c r="H12" s="1300">
        <f>H13+H16</f>
        <v>23932383</v>
      </c>
      <c r="I12" s="1298">
        <f t="shared" ref="I12" si="12">I13+I16</f>
        <v>117815854.40000001</v>
      </c>
      <c r="J12" s="1299">
        <f>J13+J16</f>
        <v>52453589</v>
      </c>
      <c r="K12" s="1299">
        <f>K13+K16</f>
        <v>20622891.399999999</v>
      </c>
      <c r="L12" s="1299">
        <f>L13+L16</f>
        <v>20806991</v>
      </c>
      <c r="M12" s="1300">
        <f>M13+M16</f>
        <v>23932383</v>
      </c>
      <c r="N12" s="1301">
        <f>N13+N16</f>
        <v>77086139.400000006</v>
      </c>
      <c r="O12" s="536">
        <f t="shared" si="5"/>
        <v>65.108359579493296</v>
      </c>
      <c r="P12" s="1299">
        <f>P13+P16</f>
        <v>4009659</v>
      </c>
      <c r="Q12" s="536">
        <f t="shared" si="10"/>
        <v>19.270729727330586</v>
      </c>
      <c r="R12" s="1299">
        <f>+P12-L12*0.25</f>
        <v>-1192088.75</v>
      </c>
      <c r="S12" s="2957"/>
      <c r="T12" s="1302"/>
      <c r="U12" s="537"/>
      <c r="V12" s="537"/>
    </row>
    <row r="13" spans="1:71" s="547" customFormat="1" ht="15" customHeight="1" x14ac:dyDescent="0.2">
      <c r="A13" s="2955"/>
      <c r="B13" s="1303" t="s">
        <v>18</v>
      </c>
      <c r="C13" s="2960"/>
      <c r="D13" s="1304">
        <f t="shared" ref="D13" si="13">D14+D15</f>
        <v>15716451</v>
      </c>
      <c r="E13" s="1305">
        <f>E14+E15</f>
        <v>7453604</v>
      </c>
      <c r="F13" s="1305">
        <f>F14+F15</f>
        <v>2448850</v>
      </c>
      <c r="G13" s="1305">
        <f>G14+G15</f>
        <v>2654001</v>
      </c>
      <c r="H13" s="1306">
        <f>H14+H15</f>
        <v>3159996</v>
      </c>
      <c r="I13" s="1304">
        <f t="shared" ref="I13" si="14">I14+I15</f>
        <v>15706142.460000001</v>
      </c>
      <c r="J13" s="1305">
        <f>J14+J15</f>
        <v>7453604</v>
      </c>
      <c r="K13" s="1305">
        <f>K14+K15</f>
        <v>2438541.46</v>
      </c>
      <c r="L13" s="1305">
        <f>L14+L15</f>
        <v>2654001</v>
      </c>
      <c r="M13" s="1306">
        <f>M14+M15</f>
        <v>3159996</v>
      </c>
      <c r="N13" s="1307">
        <f>N14+N15</f>
        <v>10487971.460000001</v>
      </c>
      <c r="O13" s="545">
        <f t="shared" si="5"/>
        <v>66.732441439864516</v>
      </c>
      <c r="P13" s="1305">
        <f>P14+P15</f>
        <v>595826</v>
      </c>
      <c r="Q13" s="545">
        <f t="shared" si="10"/>
        <v>22.450104577956076</v>
      </c>
      <c r="R13" s="1305">
        <f t="shared" ref="R13:R80" si="15">+P13-L13*0.25</f>
        <v>-67674.25</v>
      </c>
      <c r="S13" s="2958"/>
      <c r="T13" s="1302"/>
      <c r="U13" s="537"/>
    </row>
    <row r="14" spans="1:71" ht="15" customHeight="1" x14ac:dyDescent="0.2">
      <c r="A14" s="2955"/>
      <c r="B14" s="557" t="s">
        <v>5</v>
      </c>
      <c r="C14" s="2961"/>
      <c r="D14" s="1308">
        <f t="shared" ref="D14:H14" si="16">D75+D146+D98+D110+D134+D63</f>
        <v>10430362</v>
      </c>
      <c r="E14" s="1309">
        <f t="shared" si="16"/>
        <v>4661259</v>
      </c>
      <c r="F14" s="1309">
        <f t="shared" si="16"/>
        <v>1410482</v>
      </c>
      <c r="G14" s="1309">
        <f t="shared" si="16"/>
        <v>1661617</v>
      </c>
      <c r="H14" s="1310">
        <f t="shared" si="16"/>
        <v>2697004</v>
      </c>
      <c r="I14" s="1308">
        <f t="shared" ref="I14:N14" si="17">I75+I146+I98+I110+I134+I63</f>
        <v>10430361</v>
      </c>
      <c r="J14" s="1309">
        <f t="shared" si="17"/>
        <v>4661259</v>
      </c>
      <c r="K14" s="1309">
        <f t="shared" si="17"/>
        <v>1410481</v>
      </c>
      <c r="L14" s="1309">
        <f t="shared" si="17"/>
        <v>1661617</v>
      </c>
      <c r="M14" s="1310">
        <f t="shared" si="17"/>
        <v>2697004</v>
      </c>
      <c r="N14" s="1308">
        <f t="shared" si="17"/>
        <v>6477658</v>
      </c>
      <c r="O14" s="555">
        <f t="shared" si="5"/>
        <v>62.103865618470387</v>
      </c>
      <c r="P14" s="1309">
        <f>P75+P146+P98+P110+P134+P63</f>
        <v>405918</v>
      </c>
      <c r="Q14" s="555">
        <f>P14/G14*100</f>
        <v>24.429095272857705</v>
      </c>
      <c r="R14" s="1309">
        <f t="shared" si="15"/>
        <v>-9486.25</v>
      </c>
      <c r="S14" s="2958"/>
      <c r="T14" s="1302"/>
    </row>
    <row r="15" spans="1:71" ht="15" customHeight="1" x14ac:dyDescent="0.2">
      <c r="A15" s="2955"/>
      <c r="B15" s="564" t="s">
        <v>8</v>
      </c>
      <c r="C15" s="2961"/>
      <c r="D15" s="1311">
        <f t="shared" ref="D15:H15" si="18">D52+D76+D87+D147+D99+D111+D40+D123+D135+D159+D64</f>
        <v>5286089</v>
      </c>
      <c r="E15" s="1312">
        <f t="shared" si="18"/>
        <v>2792345</v>
      </c>
      <c r="F15" s="1312">
        <f t="shared" si="18"/>
        <v>1038368</v>
      </c>
      <c r="G15" s="1312">
        <f t="shared" si="18"/>
        <v>992384</v>
      </c>
      <c r="H15" s="1313">
        <f t="shared" si="18"/>
        <v>462992</v>
      </c>
      <c r="I15" s="1311">
        <f t="shared" ref="I15:N15" si="19">I52+I76+I87+I147+I99+I111+I40+I123+I135+I159+I64</f>
        <v>5275781.46</v>
      </c>
      <c r="J15" s="1312">
        <f t="shared" si="19"/>
        <v>2792345</v>
      </c>
      <c r="K15" s="1312">
        <f t="shared" si="19"/>
        <v>1028060.46</v>
      </c>
      <c r="L15" s="1312">
        <f t="shared" si="19"/>
        <v>992384</v>
      </c>
      <c r="M15" s="1313">
        <f t="shared" si="19"/>
        <v>462992</v>
      </c>
      <c r="N15" s="1311">
        <f t="shared" si="19"/>
        <v>4010313.46</v>
      </c>
      <c r="O15" s="555">
        <f>N15/D15*100</f>
        <v>75.865416946252708</v>
      </c>
      <c r="P15" s="1312">
        <f>P52+P76+P87+P147+P99+P111+P40+P123+P135+P159+P64</f>
        <v>189908</v>
      </c>
      <c r="Q15" s="555">
        <f t="shared" ref="Q15:Q78" si="20">P15/G15*100</f>
        <v>19.136543918483166</v>
      </c>
      <c r="R15" s="1312">
        <f t="shared" si="15"/>
        <v>-58188</v>
      </c>
      <c r="S15" s="2958"/>
      <c r="T15" s="1302"/>
    </row>
    <row r="16" spans="1:71" s="547" customFormat="1" ht="15" customHeight="1" x14ac:dyDescent="0.2">
      <c r="A16" s="2955"/>
      <c r="B16" s="539" t="s">
        <v>13</v>
      </c>
      <c r="C16" s="2961"/>
      <c r="D16" s="1304">
        <f t="shared" ref="D16:P16" si="21">D17</f>
        <v>102680234</v>
      </c>
      <c r="E16" s="1305">
        <f t="shared" si="21"/>
        <v>44999985</v>
      </c>
      <c r="F16" s="1305">
        <f t="shared" si="21"/>
        <v>18754872</v>
      </c>
      <c r="G16" s="1305">
        <f t="shared" si="21"/>
        <v>18152990</v>
      </c>
      <c r="H16" s="1306">
        <f t="shared" si="21"/>
        <v>20772387</v>
      </c>
      <c r="I16" s="1304">
        <f t="shared" si="21"/>
        <v>102109711.94</v>
      </c>
      <c r="J16" s="1305">
        <f t="shared" si="21"/>
        <v>44999985</v>
      </c>
      <c r="K16" s="1305">
        <f t="shared" si="21"/>
        <v>18184349.939999998</v>
      </c>
      <c r="L16" s="1305">
        <f t="shared" si="21"/>
        <v>18152990</v>
      </c>
      <c r="M16" s="1306">
        <f t="shared" si="21"/>
        <v>20772387</v>
      </c>
      <c r="N16" s="1307">
        <f t="shared" si="21"/>
        <v>66598167.939999998</v>
      </c>
      <c r="O16" s="1314">
        <f t="shared" ref="O16:O79" si="22">N16/D16*100</f>
        <v>64.859774219057584</v>
      </c>
      <c r="P16" s="1305">
        <f t="shared" si="21"/>
        <v>3413833</v>
      </c>
      <c r="Q16" s="1314">
        <f t="shared" si="20"/>
        <v>18.8058991934662</v>
      </c>
      <c r="R16" s="1305">
        <f t="shared" si="15"/>
        <v>-1124414.5</v>
      </c>
      <c r="S16" s="2958"/>
      <c r="T16" s="1302"/>
    </row>
    <row r="17" spans="1:21" ht="15" customHeight="1" x14ac:dyDescent="0.2">
      <c r="A17" s="2955"/>
      <c r="B17" s="557" t="s">
        <v>15</v>
      </c>
      <c r="C17" s="2962"/>
      <c r="D17" s="1315">
        <f t="shared" ref="D17:H17" si="23">D26+D54+D78+D89+D149+D101+D113+D42+D125+D137+D161+D33+D66+D173+D185</f>
        <v>102680234</v>
      </c>
      <c r="E17" s="1316">
        <f t="shared" si="23"/>
        <v>44999985</v>
      </c>
      <c r="F17" s="1316">
        <f t="shared" si="23"/>
        <v>18754872</v>
      </c>
      <c r="G17" s="1316">
        <f t="shared" si="23"/>
        <v>18152990</v>
      </c>
      <c r="H17" s="1316">
        <f t="shared" si="23"/>
        <v>20772387</v>
      </c>
      <c r="I17" s="1315">
        <f t="shared" ref="I17:P17" si="24">I26+I54+I78+I89+I149+I101+I113+I42+I125+I137+I161+I33+I66+I173+I185</f>
        <v>102109711.94</v>
      </c>
      <c r="J17" s="1316">
        <f t="shared" si="24"/>
        <v>44999985</v>
      </c>
      <c r="K17" s="1316">
        <f t="shared" si="24"/>
        <v>18184349.939999998</v>
      </c>
      <c r="L17" s="1316">
        <f t="shared" si="24"/>
        <v>18152990</v>
      </c>
      <c r="M17" s="1316">
        <f t="shared" si="24"/>
        <v>20772387</v>
      </c>
      <c r="N17" s="1315">
        <f t="shared" si="24"/>
        <v>66598167.939999998</v>
      </c>
      <c r="O17" s="1317">
        <f t="shared" si="22"/>
        <v>64.859774219057584</v>
      </c>
      <c r="P17" s="1316">
        <f t="shared" si="24"/>
        <v>3413833</v>
      </c>
      <c r="Q17" s="1317">
        <f t="shared" si="20"/>
        <v>18.8058991934662</v>
      </c>
      <c r="R17" s="1318">
        <f t="shared" si="15"/>
        <v>-1124414.5</v>
      </c>
      <c r="S17" s="2958"/>
      <c r="T17" s="1302"/>
    </row>
    <row r="18" spans="1:21" ht="15" customHeight="1" x14ac:dyDescent="0.2">
      <c r="A18" s="2955"/>
      <c r="B18" s="565" t="s">
        <v>17</v>
      </c>
      <c r="C18" s="566"/>
      <c r="D18" s="920">
        <f t="shared" ref="D18" si="25">D19+D21</f>
        <v>107966323</v>
      </c>
      <c r="E18" s="1319">
        <f>E19+E21</f>
        <v>48120424</v>
      </c>
      <c r="F18" s="1319">
        <f>F19+F21</f>
        <v>20317289</v>
      </c>
      <c r="G18" s="1319">
        <f>G19+G21</f>
        <v>18290897</v>
      </c>
      <c r="H18" s="1320">
        <f>H19+H21</f>
        <v>21237713</v>
      </c>
      <c r="I18" s="920">
        <f t="shared" ref="I18" si="26">I19+I21</f>
        <v>107150988</v>
      </c>
      <c r="J18" s="1319">
        <f>J19+J21</f>
        <v>48120424</v>
      </c>
      <c r="K18" s="1319">
        <f>K19+K21</f>
        <v>19501954</v>
      </c>
      <c r="L18" s="1319">
        <f>L19+L21</f>
        <v>18290897</v>
      </c>
      <c r="M18" s="1320">
        <f>M19+M21</f>
        <v>21237713</v>
      </c>
      <c r="N18" s="1319">
        <f>N19+N21</f>
        <v>72490446</v>
      </c>
      <c r="O18" s="1277">
        <f t="shared" si="22"/>
        <v>67.141719737922358</v>
      </c>
      <c r="P18" s="921">
        <f>P19+P21</f>
        <v>4868068</v>
      </c>
      <c r="Q18" s="1277">
        <f t="shared" si="20"/>
        <v>26.61470347791035</v>
      </c>
      <c r="R18" s="921">
        <f t="shared" si="15"/>
        <v>295343.75</v>
      </c>
      <c r="S18" s="2958"/>
      <c r="T18" s="1302"/>
      <c r="U18" s="537"/>
    </row>
    <row r="19" spans="1:21" ht="15" customHeight="1" x14ac:dyDescent="0.2">
      <c r="A19" s="2955"/>
      <c r="B19" s="575" t="s">
        <v>18</v>
      </c>
      <c r="C19" s="2963"/>
      <c r="D19" s="1321">
        <f t="shared" ref="D19:P19" si="27">D20</f>
        <v>5286089</v>
      </c>
      <c r="E19" s="1322">
        <f t="shared" si="27"/>
        <v>2791995</v>
      </c>
      <c r="F19" s="1322">
        <f t="shared" si="27"/>
        <v>1038368</v>
      </c>
      <c r="G19" s="1322">
        <f t="shared" si="27"/>
        <v>992384</v>
      </c>
      <c r="H19" s="1323">
        <f t="shared" si="27"/>
        <v>463342</v>
      </c>
      <c r="I19" s="1321">
        <f t="shared" si="27"/>
        <v>5275782</v>
      </c>
      <c r="J19" s="1322">
        <f t="shared" si="27"/>
        <v>2791995</v>
      </c>
      <c r="K19" s="1322">
        <f t="shared" si="27"/>
        <v>1028061</v>
      </c>
      <c r="L19" s="1322">
        <f t="shared" si="27"/>
        <v>992384</v>
      </c>
      <c r="M19" s="1323">
        <f t="shared" si="27"/>
        <v>463342</v>
      </c>
      <c r="N19" s="1322">
        <f t="shared" si="27"/>
        <v>4134424</v>
      </c>
      <c r="O19" s="1314">
        <f t="shared" si="22"/>
        <v>78.213287744493144</v>
      </c>
      <c r="P19" s="1324">
        <f t="shared" si="27"/>
        <v>314368</v>
      </c>
      <c r="Q19" s="1314">
        <f t="shared" si="20"/>
        <v>31.67806010576551</v>
      </c>
      <c r="R19" s="1324">
        <f t="shared" si="15"/>
        <v>66272</v>
      </c>
      <c r="S19" s="2958"/>
      <c r="T19" s="1302"/>
    </row>
    <row r="20" spans="1:21" ht="15" customHeight="1" x14ac:dyDescent="0.2">
      <c r="A20" s="2955"/>
      <c r="B20" s="564" t="s">
        <v>8</v>
      </c>
      <c r="C20" s="2964"/>
      <c r="D20" s="1315">
        <f t="shared" ref="D20:H20" si="28">D57+D81+D92+D152+D104+D116+D45+D128+D140+D164+D69</f>
        <v>5286089</v>
      </c>
      <c r="E20" s="1316">
        <f t="shared" si="28"/>
        <v>2791995</v>
      </c>
      <c r="F20" s="1316">
        <f t="shared" si="28"/>
        <v>1038368</v>
      </c>
      <c r="G20" s="1316">
        <f t="shared" si="28"/>
        <v>992384</v>
      </c>
      <c r="H20" s="1325">
        <f t="shared" si="28"/>
        <v>463342</v>
      </c>
      <c r="I20" s="1315">
        <f t="shared" ref="I20:N20" si="29">I57+I81+I92+I152+I104+I116+I45+I128+I140+I164+I69</f>
        <v>5275782</v>
      </c>
      <c r="J20" s="1316">
        <f>J57+J81+J92+J152+J104+J116+J45+J128+J140+J164+J69</f>
        <v>2791995</v>
      </c>
      <c r="K20" s="1316">
        <f t="shared" si="29"/>
        <v>1028061</v>
      </c>
      <c r="L20" s="1316">
        <f t="shared" si="29"/>
        <v>992384</v>
      </c>
      <c r="M20" s="1325">
        <f t="shared" si="29"/>
        <v>463342</v>
      </c>
      <c r="N20" s="1326">
        <f t="shared" si="29"/>
        <v>4134424</v>
      </c>
      <c r="O20" s="1317">
        <f t="shared" si="22"/>
        <v>78.213287744493144</v>
      </c>
      <c r="P20" s="1318">
        <f>P57+P81+P92+P152+P104+P116+P45+P128+P140+P164+P69</f>
        <v>314368</v>
      </c>
      <c r="Q20" s="1317">
        <f t="shared" si="20"/>
        <v>31.67806010576551</v>
      </c>
      <c r="R20" s="1318">
        <f t="shared" si="15"/>
        <v>66272</v>
      </c>
      <c r="S20" s="2958"/>
      <c r="T20" s="1302"/>
    </row>
    <row r="21" spans="1:21" ht="15" customHeight="1" x14ac:dyDescent="0.2">
      <c r="A21" s="2955"/>
      <c r="B21" s="590" t="s">
        <v>13</v>
      </c>
      <c r="C21" s="2964"/>
      <c r="D21" s="1321">
        <f t="shared" ref="D21:P21" si="30">D22</f>
        <v>102680234</v>
      </c>
      <c r="E21" s="1322">
        <f t="shared" si="30"/>
        <v>45328429</v>
      </c>
      <c r="F21" s="1322">
        <f t="shared" si="30"/>
        <v>19278921</v>
      </c>
      <c r="G21" s="1322">
        <f t="shared" si="30"/>
        <v>17298513</v>
      </c>
      <c r="H21" s="1323">
        <f t="shared" si="30"/>
        <v>20774371</v>
      </c>
      <c r="I21" s="1321">
        <f t="shared" si="30"/>
        <v>101875206</v>
      </c>
      <c r="J21" s="1322">
        <f t="shared" si="30"/>
        <v>45328429</v>
      </c>
      <c r="K21" s="1322">
        <f t="shared" si="30"/>
        <v>18473893</v>
      </c>
      <c r="L21" s="1322">
        <f t="shared" si="30"/>
        <v>17298513</v>
      </c>
      <c r="M21" s="1323">
        <f t="shared" si="30"/>
        <v>20774371</v>
      </c>
      <c r="N21" s="1322">
        <f t="shared" si="30"/>
        <v>68356022</v>
      </c>
      <c r="O21" s="1314">
        <f t="shared" si="22"/>
        <v>66.571743496416261</v>
      </c>
      <c r="P21" s="1324">
        <f t="shared" si="30"/>
        <v>4553700</v>
      </c>
      <c r="Q21" s="1314">
        <f t="shared" si="20"/>
        <v>26.324227984220379</v>
      </c>
      <c r="R21" s="1324">
        <f t="shared" si="15"/>
        <v>229071.75</v>
      </c>
      <c r="S21" s="2958"/>
      <c r="T21" s="1302"/>
    </row>
    <row r="22" spans="1:21" ht="15" customHeight="1" thickBot="1" x14ac:dyDescent="0.25">
      <c r="A22" s="2956"/>
      <c r="B22" s="592" t="s">
        <v>15</v>
      </c>
      <c r="C22" s="2965"/>
      <c r="D22" s="1327">
        <f t="shared" ref="D22:H22" si="31">D29+D59+D83+D94+D154+D106+D118+D47+D130+D142+D166+D36+D71+D178+D190</f>
        <v>102680234</v>
      </c>
      <c r="E22" s="1328">
        <f t="shared" si="31"/>
        <v>45328429</v>
      </c>
      <c r="F22" s="1328">
        <f t="shared" si="31"/>
        <v>19278921</v>
      </c>
      <c r="G22" s="1328">
        <f t="shared" si="31"/>
        <v>17298513</v>
      </c>
      <c r="H22" s="1325">
        <f t="shared" si="31"/>
        <v>20774371</v>
      </c>
      <c r="I22" s="1327">
        <f t="shared" ref="I22:P22" si="32">I29+I59+I83+I94+I154+I106+I118+I47+I130+I142+I166+I36+I71+I178+I190</f>
        <v>101875206</v>
      </c>
      <c r="J22" s="1328">
        <f t="shared" si="32"/>
        <v>45328429</v>
      </c>
      <c r="K22" s="1328">
        <f t="shared" si="32"/>
        <v>18473893</v>
      </c>
      <c r="L22" s="1328">
        <f t="shared" si="32"/>
        <v>17298513</v>
      </c>
      <c r="M22" s="1325">
        <f t="shared" si="32"/>
        <v>20774371</v>
      </c>
      <c r="N22" s="1328">
        <f t="shared" si="32"/>
        <v>68356022</v>
      </c>
      <c r="O22" s="1329">
        <f t="shared" si="22"/>
        <v>66.571743496416261</v>
      </c>
      <c r="P22" s="1328">
        <f t="shared" si="32"/>
        <v>4553700</v>
      </c>
      <c r="Q22" s="1329">
        <f t="shared" si="20"/>
        <v>26.324227984220379</v>
      </c>
      <c r="R22" s="1330">
        <f t="shared" si="15"/>
        <v>229071.75</v>
      </c>
      <c r="S22" s="2959"/>
      <c r="T22" s="1302"/>
    </row>
    <row r="23" spans="1:21" ht="48.75" hidden="1" customHeight="1" x14ac:dyDescent="0.2">
      <c r="A23" s="2889" t="s">
        <v>40</v>
      </c>
      <c r="B23" s="1331" t="s">
        <v>128</v>
      </c>
      <c r="C23" s="1332"/>
      <c r="D23" s="2859" t="s">
        <v>129</v>
      </c>
      <c r="E23" s="2860"/>
      <c r="F23" s="2860"/>
      <c r="G23" s="2860"/>
      <c r="H23" s="2861"/>
      <c r="I23" s="2859" t="s">
        <v>129</v>
      </c>
      <c r="J23" s="2860"/>
      <c r="K23" s="2860"/>
      <c r="L23" s="2860"/>
      <c r="M23" s="2861"/>
      <c r="N23" s="1333"/>
      <c r="O23" s="995" t="e">
        <f t="shared" si="22"/>
        <v>#VALUE!</v>
      </c>
      <c r="P23" s="995"/>
      <c r="Q23" s="995" t="e">
        <f t="shared" si="20"/>
        <v>#DIV/0!</v>
      </c>
      <c r="R23" s="1299">
        <f t="shared" si="15"/>
        <v>0</v>
      </c>
      <c r="S23" s="2966" t="s">
        <v>130</v>
      </c>
      <c r="T23" s="1302"/>
    </row>
    <row r="24" spans="1:21" ht="13.5" hidden="1" customHeight="1" x14ac:dyDescent="0.2">
      <c r="A24" s="2810"/>
      <c r="B24" s="565" t="s">
        <v>3</v>
      </c>
      <c r="C24" s="566"/>
      <c r="D24" s="899">
        <v>0</v>
      </c>
      <c r="E24" s="827">
        <v>0</v>
      </c>
      <c r="F24" s="827">
        <v>0</v>
      </c>
      <c r="G24" s="827">
        <v>0</v>
      </c>
      <c r="H24" s="843">
        <v>0</v>
      </c>
      <c r="I24" s="899">
        <v>0</v>
      </c>
      <c r="J24" s="827">
        <v>0</v>
      </c>
      <c r="K24" s="827">
        <v>0</v>
      </c>
      <c r="L24" s="827">
        <v>0</v>
      </c>
      <c r="M24" s="843">
        <v>0</v>
      </c>
      <c r="N24" s="1334">
        <v>0</v>
      </c>
      <c r="O24" s="922" t="e">
        <f t="shared" si="22"/>
        <v>#DIV/0!</v>
      </c>
      <c r="P24" s="827">
        <v>0</v>
      </c>
      <c r="Q24" s="922" t="e">
        <f t="shared" si="20"/>
        <v>#DIV/0!</v>
      </c>
      <c r="R24" s="1299">
        <f t="shared" si="15"/>
        <v>0</v>
      </c>
      <c r="S24" s="2949"/>
      <c r="T24" s="1302"/>
    </row>
    <row r="25" spans="1:21" ht="11.25" hidden="1" customHeight="1" x14ac:dyDescent="0.2">
      <c r="A25" s="2810"/>
      <c r="B25" s="703" t="s">
        <v>13</v>
      </c>
      <c r="C25" s="2951" t="s">
        <v>131</v>
      </c>
      <c r="D25" s="897">
        <v>0</v>
      </c>
      <c r="E25" s="706">
        <v>0</v>
      </c>
      <c r="F25" s="853">
        <v>0</v>
      </c>
      <c r="G25" s="853">
        <v>0</v>
      </c>
      <c r="H25" s="854">
        <v>0</v>
      </c>
      <c r="I25" s="897">
        <v>0</v>
      </c>
      <c r="J25" s="706">
        <v>0</v>
      </c>
      <c r="K25" s="853">
        <v>0</v>
      </c>
      <c r="L25" s="853">
        <v>0</v>
      </c>
      <c r="M25" s="854">
        <v>0</v>
      </c>
      <c r="N25" s="1228">
        <v>0</v>
      </c>
      <c r="O25" s="853" t="e">
        <f t="shared" si="22"/>
        <v>#DIV/0!</v>
      </c>
      <c r="P25" s="853">
        <v>0</v>
      </c>
      <c r="Q25" s="853" t="e">
        <f t="shared" si="20"/>
        <v>#DIV/0!</v>
      </c>
      <c r="R25" s="1299">
        <f t="shared" si="15"/>
        <v>0</v>
      </c>
      <c r="S25" s="2949"/>
      <c r="T25" s="1302"/>
    </row>
    <row r="26" spans="1:21" ht="13.5" hidden="1" customHeight="1" x14ac:dyDescent="0.2">
      <c r="A26" s="2810"/>
      <c r="B26" s="696" t="s">
        <v>15</v>
      </c>
      <c r="C26" s="2951"/>
      <c r="D26" s="709">
        <v>0</v>
      </c>
      <c r="E26" s="698">
        <v>0</v>
      </c>
      <c r="F26" s="698">
        <v>0</v>
      </c>
      <c r="G26" s="698">
        <v>0</v>
      </c>
      <c r="H26" s="700">
        <v>0</v>
      </c>
      <c r="I26" s="709">
        <v>0</v>
      </c>
      <c r="J26" s="698">
        <v>0</v>
      </c>
      <c r="K26" s="698">
        <v>0</v>
      </c>
      <c r="L26" s="698">
        <v>0</v>
      </c>
      <c r="M26" s="700">
        <v>0</v>
      </c>
      <c r="N26" s="1335">
        <v>0</v>
      </c>
      <c r="O26" s="1336" t="e">
        <f t="shared" si="22"/>
        <v>#DIV/0!</v>
      </c>
      <c r="P26" s="698">
        <v>0</v>
      </c>
      <c r="Q26" s="1336" t="e">
        <f t="shared" si="20"/>
        <v>#DIV/0!</v>
      </c>
      <c r="R26" s="1299">
        <f t="shared" si="15"/>
        <v>0</v>
      </c>
      <c r="S26" s="2949"/>
      <c r="T26" s="1302"/>
    </row>
    <row r="27" spans="1:21" ht="13.5" hidden="1" customHeight="1" x14ac:dyDescent="0.2">
      <c r="A27" s="2811"/>
      <c r="B27" s="565" t="s">
        <v>17</v>
      </c>
      <c r="C27" s="566"/>
      <c r="D27" s="899">
        <v>0</v>
      </c>
      <c r="E27" s="827">
        <v>0</v>
      </c>
      <c r="F27" s="827">
        <v>0</v>
      </c>
      <c r="G27" s="827">
        <v>0</v>
      </c>
      <c r="H27" s="843">
        <v>0</v>
      </c>
      <c r="I27" s="899">
        <v>0</v>
      </c>
      <c r="J27" s="827">
        <v>0</v>
      </c>
      <c r="K27" s="827">
        <v>0</v>
      </c>
      <c r="L27" s="827">
        <v>0</v>
      </c>
      <c r="M27" s="843">
        <v>0</v>
      </c>
      <c r="N27" s="1334">
        <v>0</v>
      </c>
      <c r="O27" s="922" t="e">
        <f t="shared" si="22"/>
        <v>#DIV/0!</v>
      </c>
      <c r="P27" s="827">
        <v>0</v>
      </c>
      <c r="Q27" s="922" t="e">
        <f t="shared" si="20"/>
        <v>#DIV/0!</v>
      </c>
      <c r="R27" s="1299">
        <f t="shared" si="15"/>
        <v>0</v>
      </c>
      <c r="S27" s="2950"/>
      <c r="T27" s="1302"/>
    </row>
    <row r="28" spans="1:21" ht="12" hidden="1" customHeight="1" x14ac:dyDescent="0.2">
      <c r="A28" s="2811"/>
      <c r="B28" s="703" t="s">
        <v>13</v>
      </c>
      <c r="C28" s="2968" t="s">
        <v>132</v>
      </c>
      <c r="D28" s="897">
        <v>0</v>
      </c>
      <c r="E28" s="706">
        <v>0</v>
      </c>
      <c r="F28" s="706">
        <v>0</v>
      </c>
      <c r="G28" s="706">
        <v>0</v>
      </c>
      <c r="H28" s="707">
        <v>0</v>
      </c>
      <c r="I28" s="897">
        <v>0</v>
      </c>
      <c r="J28" s="706">
        <v>0</v>
      </c>
      <c r="K28" s="706">
        <v>0</v>
      </c>
      <c r="L28" s="706">
        <v>0</v>
      </c>
      <c r="M28" s="707">
        <v>0</v>
      </c>
      <c r="N28" s="1337">
        <v>0</v>
      </c>
      <c r="O28" s="853" t="e">
        <f t="shared" si="22"/>
        <v>#DIV/0!</v>
      </c>
      <c r="P28" s="706">
        <v>0</v>
      </c>
      <c r="Q28" s="853" t="e">
        <f t="shared" si="20"/>
        <v>#DIV/0!</v>
      </c>
      <c r="R28" s="1299">
        <f t="shared" si="15"/>
        <v>0</v>
      </c>
      <c r="S28" s="2950"/>
      <c r="T28" s="1302"/>
    </row>
    <row r="29" spans="1:21" ht="13.5" hidden="1" customHeight="1" thickBot="1" x14ac:dyDescent="0.25">
      <c r="A29" s="2812"/>
      <c r="B29" s="717" t="s">
        <v>15</v>
      </c>
      <c r="C29" s="2969"/>
      <c r="D29" s="901">
        <v>0</v>
      </c>
      <c r="E29" s="719">
        <v>0</v>
      </c>
      <c r="F29" s="719">
        <v>0</v>
      </c>
      <c r="G29" s="719">
        <v>0</v>
      </c>
      <c r="H29" s="761">
        <v>0</v>
      </c>
      <c r="I29" s="901">
        <v>0</v>
      </c>
      <c r="J29" s="719">
        <v>0</v>
      </c>
      <c r="K29" s="719">
        <v>0</v>
      </c>
      <c r="L29" s="719">
        <v>0</v>
      </c>
      <c r="M29" s="761">
        <v>0</v>
      </c>
      <c r="N29" s="1338">
        <v>0</v>
      </c>
      <c r="O29" s="1339" t="e">
        <f t="shared" si="22"/>
        <v>#DIV/0!</v>
      </c>
      <c r="P29" s="719">
        <v>0</v>
      </c>
      <c r="Q29" s="1339" t="e">
        <f t="shared" si="20"/>
        <v>#DIV/0!</v>
      </c>
      <c r="R29" s="1299">
        <f t="shared" si="15"/>
        <v>0</v>
      </c>
      <c r="S29" s="2967"/>
      <c r="T29" s="1302"/>
    </row>
    <row r="30" spans="1:21" ht="24" customHeight="1" x14ac:dyDescent="0.2">
      <c r="A30" s="2947" t="s">
        <v>40</v>
      </c>
      <c r="B30" s="1340" t="s">
        <v>306</v>
      </c>
      <c r="C30" s="1341" t="s">
        <v>233</v>
      </c>
      <c r="D30" s="1342"/>
      <c r="E30" s="1343"/>
      <c r="F30" s="1343"/>
      <c r="G30" s="678"/>
      <c r="H30" s="1344"/>
      <c r="I30" s="1342"/>
      <c r="J30" s="1343"/>
      <c r="K30" s="1343"/>
      <c r="L30" s="678"/>
      <c r="M30" s="1344"/>
      <c r="N30" s="1345"/>
      <c r="O30" s="1343"/>
      <c r="P30" s="1343"/>
      <c r="Q30" s="1343"/>
      <c r="R30" s="678"/>
      <c r="S30" s="2948" t="s">
        <v>130</v>
      </c>
      <c r="T30" s="1302"/>
    </row>
    <row r="31" spans="1:21" ht="15" customHeight="1" x14ac:dyDescent="0.2">
      <c r="A31" s="2810"/>
      <c r="B31" s="565" t="s">
        <v>3</v>
      </c>
      <c r="C31" s="566"/>
      <c r="D31" s="826">
        <f t="shared" ref="D31:N32" si="33">+D32</f>
        <v>5486623</v>
      </c>
      <c r="E31" s="828">
        <f t="shared" si="33"/>
        <v>2762944</v>
      </c>
      <c r="F31" s="828">
        <f t="shared" si="33"/>
        <v>2685779</v>
      </c>
      <c r="G31" s="828">
        <f t="shared" si="33"/>
        <v>37900</v>
      </c>
      <c r="H31" s="829">
        <f t="shared" si="33"/>
        <v>0</v>
      </c>
      <c r="I31" s="826">
        <f t="shared" si="33"/>
        <v>5486623</v>
      </c>
      <c r="J31" s="828">
        <f t="shared" si="33"/>
        <v>2762944</v>
      </c>
      <c r="K31" s="828">
        <f t="shared" si="33"/>
        <v>2685779</v>
      </c>
      <c r="L31" s="828">
        <f t="shared" si="33"/>
        <v>37900</v>
      </c>
      <c r="M31" s="829">
        <f t="shared" si="33"/>
        <v>0</v>
      </c>
      <c r="N31" s="849">
        <f t="shared" si="33"/>
        <v>5486215</v>
      </c>
      <c r="O31" s="1277">
        <f t="shared" si="22"/>
        <v>99.99256373182557</v>
      </c>
      <c r="P31" s="828">
        <f>+P32</f>
        <v>37492</v>
      </c>
      <c r="Q31" s="1277">
        <f t="shared" si="20"/>
        <v>98.923482849604213</v>
      </c>
      <c r="R31" s="828">
        <f t="shared" si="15"/>
        <v>28017</v>
      </c>
      <c r="S31" s="2949"/>
      <c r="T31" s="1302"/>
    </row>
    <row r="32" spans="1:21" ht="15" customHeight="1" x14ac:dyDescent="0.2">
      <c r="A32" s="2810"/>
      <c r="B32" s="703" t="s">
        <v>13</v>
      </c>
      <c r="C32" s="2951" t="s">
        <v>131</v>
      </c>
      <c r="D32" s="704">
        <f t="shared" si="33"/>
        <v>5486623</v>
      </c>
      <c r="E32" s="705">
        <f t="shared" si="33"/>
        <v>2762944</v>
      </c>
      <c r="F32" s="821">
        <f t="shared" si="33"/>
        <v>2685779</v>
      </c>
      <c r="G32" s="821">
        <f t="shared" si="33"/>
        <v>37900</v>
      </c>
      <c r="H32" s="931">
        <f t="shared" si="33"/>
        <v>0</v>
      </c>
      <c r="I32" s="704">
        <f t="shared" si="33"/>
        <v>5486623</v>
      </c>
      <c r="J32" s="705">
        <f t="shared" si="33"/>
        <v>2762944</v>
      </c>
      <c r="K32" s="821">
        <f t="shared" si="33"/>
        <v>2685779</v>
      </c>
      <c r="L32" s="821">
        <f t="shared" si="33"/>
        <v>37900</v>
      </c>
      <c r="M32" s="931">
        <f t="shared" si="33"/>
        <v>0</v>
      </c>
      <c r="N32" s="1346">
        <f t="shared" si="33"/>
        <v>5486215</v>
      </c>
      <c r="O32" s="1279">
        <f t="shared" si="22"/>
        <v>99.99256373182557</v>
      </c>
      <c r="P32" s="1109">
        <f>+P33</f>
        <v>37492</v>
      </c>
      <c r="Q32" s="1279">
        <f t="shared" si="20"/>
        <v>98.923482849604213</v>
      </c>
      <c r="R32" s="821">
        <f t="shared" si="15"/>
        <v>28017</v>
      </c>
      <c r="S32" s="2949"/>
      <c r="T32" s="1302"/>
    </row>
    <row r="33" spans="1:21" ht="15" customHeight="1" x14ac:dyDescent="0.2">
      <c r="A33" s="2810"/>
      <c r="B33" s="696" t="s">
        <v>15</v>
      </c>
      <c r="C33" s="2951"/>
      <c r="D33" s="697">
        <f>+E33+F33+G33+H33</f>
        <v>5486623</v>
      </c>
      <c r="E33" s="699">
        <v>2762944</v>
      </c>
      <c r="F33" s="699">
        <v>2685779</v>
      </c>
      <c r="G33" s="699">
        <v>37900</v>
      </c>
      <c r="H33" s="1347">
        <v>0</v>
      </c>
      <c r="I33" s="697">
        <f>+J33+K33+L33+M33</f>
        <v>5486623</v>
      </c>
      <c r="J33" s="699">
        <v>2762944</v>
      </c>
      <c r="K33" s="699">
        <v>2685779</v>
      </c>
      <c r="L33" s="699">
        <v>37900</v>
      </c>
      <c r="M33" s="1347">
        <v>0</v>
      </c>
      <c r="N33" s="1348">
        <f>P33+J33+K33</f>
        <v>5486215</v>
      </c>
      <c r="O33" s="1349">
        <f t="shared" si="22"/>
        <v>99.99256373182557</v>
      </c>
      <c r="P33" s="699">
        <v>37492</v>
      </c>
      <c r="Q33" s="1349">
        <f t="shared" si="20"/>
        <v>98.923482849604213</v>
      </c>
      <c r="R33" s="699">
        <f t="shared" si="15"/>
        <v>28017</v>
      </c>
      <c r="S33" s="2949"/>
      <c r="T33" s="1302"/>
    </row>
    <row r="34" spans="1:21" ht="15" customHeight="1" x14ac:dyDescent="0.2">
      <c r="A34" s="2811"/>
      <c r="B34" s="565" t="s">
        <v>17</v>
      </c>
      <c r="C34" s="566"/>
      <c r="D34" s="826">
        <f>+D35</f>
        <v>5486623</v>
      </c>
      <c r="E34" s="828">
        <f t="shared" ref="E34:H35" si="34">+E35</f>
        <v>2975000</v>
      </c>
      <c r="F34" s="828">
        <f t="shared" si="34"/>
        <v>2511623</v>
      </c>
      <c r="G34" s="827">
        <f t="shared" si="34"/>
        <v>0</v>
      </c>
      <c r="H34" s="915">
        <f t="shared" si="34"/>
        <v>0</v>
      </c>
      <c r="I34" s="826">
        <f>+I35</f>
        <v>5486623</v>
      </c>
      <c r="J34" s="828">
        <f t="shared" ref="J34:P35" si="35">+J35</f>
        <v>2975000</v>
      </c>
      <c r="K34" s="828">
        <f t="shared" si="35"/>
        <v>2511623</v>
      </c>
      <c r="L34" s="827">
        <f t="shared" si="35"/>
        <v>0</v>
      </c>
      <c r="M34" s="915">
        <f t="shared" si="35"/>
        <v>0</v>
      </c>
      <c r="N34" s="849">
        <f t="shared" si="35"/>
        <v>5486623</v>
      </c>
      <c r="O34" s="1277">
        <f t="shared" si="22"/>
        <v>100</v>
      </c>
      <c r="P34" s="827">
        <f t="shared" si="35"/>
        <v>0</v>
      </c>
      <c r="Q34" s="922">
        <v>0</v>
      </c>
      <c r="R34" s="827">
        <f t="shared" si="15"/>
        <v>0</v>
      </c>
      <c r="S34" s="2950"/>
      <c r="T34" s="1302"/>
    </row>
    <row r="35" spans="1:21" ht="15" customHeight="1" x14ac:dyDescent="0.2">
      <c r="A35" s="2811"/>
      <c r="B35" s="703" t="s">
        <v>13</v>
      </c>
      <c r="C35" s="2952" t="s">
        <v>132</v>
      </c>
      <c r="D35" s="704">
        <f>+D36</f>
        <v>5486623</v>
      </c>
      <c r="E35" s="705">
        <f t="shared" si="34"/>
        <v>2975000</v>
      </c>
      <c r="F35" s="705">
        <f t="shared" si="34"/>
        <v>2511623</v>
      </c>
      <c r="G35" s="706">
        <f t="shared" si="34"/>
        <v>0</v>
      </c>
      <c r="H35" s="913">
        <f t="shared" si="34"/>
        <v>0</v>
      </c>
      <c r="I35" s="704">
        <f>+I36</f>
        <v>5486623</v>
      </c>
      <c r="J35" s="705">
        <f t="shared" si="35"/>
        <v>2975000</v>
      </c>
      <c r="K35" s="705">
        <f t="shared" si="35"/>
        <v>2511623</v>
      </c>
      <c r="L35" s="706">
        <f t="shared" si="35"/>
        <v>0</v>
      </c>
      <c r="M35" s="913">
        <f t="shared" si="35"/>
        <v>0</v>
      </c>
      <c r="N35" s="847">
        <f t="shared" si="35"/>
        <v>5486623</v>
      </c>
      <c r="O35" s="1259">
        <f t="shared" si="22"/>
        <v>100</v>
      </c>
      <c r="P35" s="706">
        <f t="shared" si="35"/>
        <v>0</v>
      </c>
      <c r="Q35" s="853">
        <v>0</v>
      </c>
      <c r="R35" s="706">
        <f t="shared" si="15"/>
        <v>0</v>
      </c>
      <c r="S35" s="2950"/>
      <c r="T35" s="1302"/>
    </row>
    <row r="36" spans="1:21" ht="15" customHeight="1" thickBot="1" x14ac:dyDescent="0.25">
      <c r="A36" s="2853"/>
      <c r="B36" s="1350" t="s">
        <v>15</v>
      </c>
      <c r="C36" s="2953"/>
      <c r="D36" s="983">
        <f>+E36+F36+G36+H36</f>
        <v>5486623</v>
      </c>
      <c r="E36" s="984">
        <v>2975000</v>
      </c>
      <c r="F36" s="720">
        <v>2511623</v>
      </c>
      <c r="G36" s="719">
        <v>0</v>
      </c>
      <c r="H36" s="850">
        <v>0</v>
      </c>
      <c r="I36" s="983">
        <f>+J36+K36+L36+M36</f>
        <v>5486623</v>
      </c>
      <c r="J36" s="984">
        <v>2975000</v>
      </c>
      <c r="K36" s="720">
        <v>2511623</v>
      </c>
      <c r="L36" s="719">
        <v>0</v>
      </c>
      <c r="M36" s="850">
        <v>0</v>
      </c>
      <c r="N36" s="1348">
        <f>P36+J36+K36</f>
        <v>5486623</v>
      </c>
      <c r="O36" s="1351">
        <f t="shared" si="22"/>
        <v>100</v>
      </c>
      <c r="P36" s="1352">
        <v>0</v>
      </c>
      <c r="Q36" s="1353">
        <v>0</v>
      </c>
      <c r="R36" s="719">
        <f t="shared" si="15"/>
        <v>0</v>
      </c>
      <c r="S36" s="2886"/>
      <c r="T36" s="1302"/>
    </row>
    <row r="37" spans="1:21" ht="27" customHeight="1" x14ac:dyDescent="0.2">
      <c r="A37" s="2809" t="s">
        <v>43</v>
      </c>
      <c r="B37" s="746" t="s">
        <v>307</v>
      </c>
      <c r="C37" s="1341" t="s">
        <v>233</v>
      </c>
      <c r="D37" s="680"/>
      <c r="E37" s="678"/>
      <c r="F37" s="678"/>
      <c r="G37" s="1354"/>
      <c r="H37" s="679"/>
      <c r="I37" s="680"/>
      <c r="J37" s="678"/>
      <c r="K37" s="678"/>
      <c r="L37" s="1354"/>
      <c r="M37" s="679"/>
      <c r="N37" s="1355"/>
      <c r="O37" s="678"/>
      <c r="P37" s="678"/>
      <c r="Q37" s="678"/>
      <c r="R37" s="1354"/>
      <c r="S37" s="2966" t="s">
        <v>130</v>
      </c>
      <c r="T37" s="1302"/>
      <c r="U37" s="2977"/>
    </row>
    <row r="38" spans="1:21" ht="12.75" customHeight="1" x14ac:dyDescent="0.2">
      <c r="A38" s="2810"/>
      <c r="B38" s="565" t="s">
        <v>3</v>
      </c>
      <c r="C38" s="566"/>
      <c r="D38" s="817">
        <f>+D39+D41</f>
        <v>2241484</v>
      </c>
      <c r="E38" s="815">
        <f>E39+E41</f>
        <v>0</v>
      </c>
      <c r="F38" s="828">
        <f>F39+F41</f>
        <v>0</v>
      </c>
      <c r="G38" s="828">
        <f>G39+G41</f>
        <v>1125736</v>
      </c>
      <c r="H38" s="875">
        <f>H39+H41</f>
        <v>1115748</v>
      </c>
      <c r="I38" s="817">
        <f>+I39+I41</f>
        <v>2241484</v>
      </c>
      <c r="J38" s="815">
        <f>J39+J41</f>
        <v>0</v>
      </c>
      <c r="K38" s="828">
        <f>K39+K41</f>
        <v>0</v>
      </c>
      <c r="L38" s="828">
        <f>L39+L41</f>
        <v>1125736</v>
      </c>
      <c r="M38" s="875">
        <f>M39+M41</f>
        <v>1115748</v>
      </c>
      <c r="N38" s="928">
        <f t="shared" ref="N38:N47" si="36">P38+J38+K38</f>
        <v>0</v>
      </c>
      <c r="O38" s="1277">
        <f t="shared" si="22"/>
        <v>0</v>
      </c>
      <c r="P38" s="851">
        <f>+P39+P41</f>
        <v>0</v>
      </c>
      <c r="Q38" s="1277">
        <f t="shared" si="20"/>
        <v>0</v>
      </c>
      <c r="R38" s="828">
        <f t="shared" ref="R38:R47" si="37">+P38-L38*0.25</f>
        <v>-281434</v>
      </c>
      <c r="S38" s="2949"/>
      <c r="T38" s="1302"/>
      <c r="U38" s="2977"/>
    </row>
    <row r="39" spans="1:21" ht="13.5" hidden="1" customHeight="1" x14ac:dyDescent="0.2">
      <c r="A39" s="2810"/>
      <c r="B39" s="819" t="s">
        <v>18</v>
      </c>
      <c r="C39" s="2771" t="s">
        <v>131</v>
      </c>
      <c r="D39" s="820">
        <f>+D40</f>
        <v>0</v>
      </c>
      <c r="E39" s="705">
        <f>E40</f>
        <v>0</v>
      </c>
      <c r="F39" s="705">
        <f>F40</f>
        <v>0</v>
      </c>
      <c r="G39" s="705">
        <f>G40</f>
        <v>0</v>
      </c>
      <c r="H39" s="825">
        <v>0</v>
      </c>
      <c r="I39" s="820">
        <f>+I40</f>
        <v>0</v>
      </c>
      <c r="J39" s="705">
        <f>J40</f>
        <v>0</v>
      </c>
      <c r="K39" s="705">
        <f>K40</f>
        <v>0</v>
      </c>
      <c r="L39" s="705">
        <f>L40</f>
        <v>0</v>
      </c>
      <c r="M39" s="825">
        <v>0</v>
      </c>
      <c r="N39" s="930">
        <f t="shared" si="36"/>
        <v>0</v>
      </c>
      <c r="O39" s="1259" t="e">
        <f t="shared" si="22"/>
        <v>#DIV/0!</v>
      </c>
      <c r="P39" s="853">
        <f>+P40</f>
        <v>0</v>
      </c>
      <c r="Q39" s="1259" t="e">
        <f t="shared" si="20"/>
        <v>#DIV/0!</v>
      </c>
      <c r="R39" s="705">
        <f t="shared" si="37"/>
        <v>0</v>
      </c>
      <c r="S39" s="2949"/>
      <c r="T39" s="1302"/>
      <c r="U39" s="2977"/>
    </row>
    <row r="40" spans="1:21" ht="13.5" hidden="1" customHeight="1" x14ac:dyDescent="0.2">
      <c r="A40" s="2810"/>
      <c r="B40" s="696" t="s">
        <v>8</v>
      </c>
      <c r="C40" s="2816"/>
      <c r="D40" s="697">
        <f>+E40+F40+G40+H40</f>
        <v>0</v>
      </c>
      <c r="E40" s="800"/>
      <c r="F40" s="800"/>
      <c r="G40" s="800">
        <v>0</v>
      </c>
      <c r="H40" s="1356">
        <v>0</v>
      </c>
      <c r="I40" s="697">
        <f>+J40+K40+L40+M40</f>
        <v>0</v>
      </c>
      <c r="J40" s="800"/>
      <c r="K40" s="800"/>
      <c r="L40" s="800">
        <v>0</v>
      </c>
      <c r="M40" s="1356">
        <v>0</v>
      </c>
      <c r="N40" s="848">
        <f t="shared" si="36"/>
        <v>0</v>
      </c>
      <c r="O40" s="1357" t="e">
        <f t="shared" si="22"/>
        <v>#DIV/0!</v>
      </c>
      <c r="P40" s="698">
        <v>0</v>
      </c>
      <c r="Q40" s="1357" t="e">
        <f t="shared" si="20"/>
        <v>#DIV/0!</v>
      </c>
      <c r="R40" s="800">
        <f t="shared" si="37"/>
        <v>0</v>
      </c>
      <c r="S40" s="2949"/>
      <c r="T40" s="1302"/>
      <c r="U40" s="2977"/>
    </row>
    <row r="41" spans="1:21" ht="14.25" customHeight="1" x14ac:dyDescent="0.2">
      <c r="A41" s="2810"/>
      <c r="B41" s="703" t="s">
        <v>13</v>
      </c>
      <c r="C41" s="2816"/>
      <c r="D41" s="704">
        <f>+D42</f>
        <v>2241484</v>
      </c>
      <c r="E41" s="705">
        <f>E42</f>
        <v>0</v>
      </c>
      <c r="F41" s="705">
        <f>F42</f>
        <v>0</v>
      </c>
      <c r="G41" s="705">
        <f>G42</f>
        <v>1125736</v>
      </c>
      <c r="H41" s="825">
        <f>H42</f>
        <v>1115748</v>
      </c>
      <c r="I41" s="704">
        <f>+I42</f>
        <v>2241484</v>
      </c>
      <c r="J41" s="705">
        <f>J42</f>
        <v>0</v>
      </c>
      <c r="K41" s="705">
        <f>K42</f>
        <v>0</v>
      </c>
      <c r="L41" s="705">
        <f>L42</f>
        <v>1125736</v>
      </c>
      <c r="M41" s="825">
        <f>M42</f>
        <v>1115748</v>
      </c>
      <c r="N41" s="847">
        <f t="shared" si="36"/>
        <v>0</v>
      </c>
      <c r="O41" s="1259">
        <f t="shared" si="22"/>
        <v>0</v>
      </c>
      <c r="P41" s="706">
        <f>+P42</f>
        <v>0</v>
      </c>
      <c r="Q41" s="1259">
        <f t="shared" si="20"/>
        <v>0</v>
      </c>
      <c r="R41" s="705">
        <f t="shared" si="37"/>
        <v>-281434</v>
      </c>
      <c r="S41" s="2949"/>
      <c r="T41" s="1302"/>
      <c r="U41" s="2977"/>
    </row>
    <row r="42" spans="1:21" ht="14.25" customHeight="1" x14ac:dyDescent="0.2">
      <c r="A42" s="2810"/>
      <c r="B42" s="696" t="s">
        <v>15</v>
      </c>
      <c r="C42" s="2816"/>
      <c r="D42" s="697">
        <f>+E42+F42+G42+H42</f>
        <v>2241484</v>
      </c>
      <c r="E42" s="699"/>
      <c r="F42" s="699"/>
      <c r="G42" s="699">
        <v>1125736</v>
      </c>
      <c r="H42" s="1358">
        <v>1115748</v>
      </c>
      <c r="I42" s="697">
        <f>+J42+K42+L42+M42</f>
        <v>2241484</v>
      </c>
      <c r="J42" s="699"/>
      <c r="K42" s="699"/>
      <c r="L42" s="699">
        <v>1125736</v>
      </c>
      <c r="M42" s="1358">
        <v>1115748</v>
      </c>
      <c r="N42" s="848">
        <f t="shared" si="36"/>
        <v>0</v>
      </c>
      <c r="O42" s="1357">
        <f t="shared" si="22"/>
        <v>0</v>
      </c>
      <c r="P42" s="698">
        <v>0</v>
      </c>
      <c r="Q42" s="1357">
        <f t="shared" si="20"/>
        <v>0</v>
      </c>
      <c r="R42" s="699">
        <f t="shared" si="37"/>
        <v>-281434</v>
      </c>
      <c r="S42" s="2949"/>
      <c r="T42" s="1302"/>
      <c r="U42" s="2977"/>
    </row>
    <row r="43" spans="1:21" ht="14.25" customHeight="1" x14ac:dyDescent="0.2">
      <c r="A43" s="2810"/>
      <c r="B43" s="565" t="s">
        <v>17</v>
      </c>
      <c r="C43" s="566"/>
      <c r="D43" s="826">
        <f>+D44+D46</f>
        <v>2241484</v>
      </c>
      <c r="E43" s="828">
        <f>E44+E46</f>
        <v>0</v>
      </c>
      <c r="F43" s="828">
        <f>F44+F46</f>
        <v>0</v>
      </c>
      <c r="G43" s="828">
        <f>G44+G46</f>
        <v>1125736</v>
      </c>
      <c r="H43" s="875">
        <f>H44+H46</f>
        <v>1115748</v>
      </c>
      <c r="I43" s="826">
        <f>+I44+I46</f>
        <v>2241484</v>
      </c>
      <c r="J43" s="828">
        <f>J44+J46</f>
        <v>0</v>
      </c>
      <c r="K43" s="828">
        <f>K44+K46</f>
        <v>0</v>
      </c>
      <c r="L43" s="828">
        <f>L44+L46</f>
        <v>1125736</v>
      </c>
      <c r="M43" s="875">
        <f>M44+M46</f>
        <v>1115748</v>
      </c>
      <c r="N43" s="849">
        <f t="shared" si="36"/>
        <v>0</v>
      </c>
      <c r="O43" s="1277">
        <f t="shared" si="22"/>
        <v>0</v>
      </c>
      <c r="P43" s="827">
        <f>+P44+P46</f>
        <v>0</v>
      </c>
      <c r="Q43" s="1277">
        <f t="shared" si="20"/>
        <v>0</v>
      </c>
      <c r="R43" s="828">
        <f t="shared" si="37"/>
        <v>-281434</v>
      </c>
      <c r="S43" s="2949"/>
      <c r="T43" s="1302"/>
      <c r="U43" s="2977"/>
    </row>
    <row r="44" spans="1:21" ht="13.5" hidden="1" customHeight="1" x14ac:dyDescent="0.2">
      <c r="A44" s="2810"/>
      <c r="B44" s="819" t="s">
        <v>18</v>
      </c>
      <c r="C44" s="2771" t="s">
        <v>147</v>
      </c>
      <c r="D44" s="704">
        <f>+D45</f>
        <v>0</v>
      </c>
      <c r="E44" s="705">
        <f>E45</f>
        <v>0</v>
      </c>
      <c r="F44" s="705">
        <f>F45</f>
        <v>0</v>
      </c>
      <c r="G44" s="705">
        <f>G45</f>
        <v>0</v>
      </c>
      <c r="H44" s="825">
        <v>0</v>
      </c>
      <c r="I44" s="704">
        <f>+I45</f>
        <v>0</v>
      </c>
      <c r="J44" s="705">
        <f>J45</f>
        <v>0</v>
      </c>
      <c r="K44" s="705">
        <f>K45</f>
        <v>0</v>
      </c>
      <c r="L44" s="705">
        <f>L45</f>
        <v>0</v>
      </c>
      <c r="M44" s="825">
        <v>0</v>
      </c>
      <c r="N44" s="847">
        <f t="shared" si="36"/>
        <v>0</v>
      </c>
      <c r="O44" s="1259" t="e">
        <f t="shared" si="22"/>
        <v>#DIV/0!</v>
      </c>
      <c r="P44" s="706">
        <f>+P45</f>
        <v>0</v>
      </c>
      <c r="Q44" s="1259" t="e">
        <f t="shared" si="20"/>
        <v>#DIV/0!</v>
      </c>
      <c r="R44" s="705">
        <f t="shared" si="37"/>
        <v>0</v>
      </c>
      <c r="S44" s="2949"/>
      <c r="T44" s="1302"/>
      <c r="U44" s="2977"/>
    </row>
    <row r="45" spans="1:21" ht="13.5" hidden="1" customHeight="1" x14ac:dyDescent="0.2">
      <c r="A45" s="2810"/>
      <c r="B45" s="696" t="s">
        <v>8</v>
      </c>
      <c r="C45" s="2816"/>
      <c r="D45" s="697">
        <f>+E45+F45+G45+H45</f>
        <v>0</v>
      </c>
      <c r="E45" s="800"/>
      <c r="F45" s="800"/>
      <c r="G45" s="800">
        <v>0</v>
      </c>
      <c r="H45" s="1356">
        <v>0</v>
      </c>
      <c r="I45" s="697">
        <f>+J45+K45+L45+M45</f>
        <v>0</v>
      </c>
      <c r="J45" s="800"/>
      <c r="K45" s="800"/>
      <c r="L45" s="800">
        <v>0</v>
      </c>
      <c r="M45" s="1356">
        <v>0</v>
      </c>
      <c r="N45" s="1348">
        <f t="shared" si="36"/>
        <v>0</v>
      </c>
      <c r="O45" s="1357" t="e">
        <f t="shared" si="22"/>
        <v>#DIV/0!</v>
      </c>
      <c r="P45" s="809">
        <v>0</v>
      </c>
      <c r="Q45" s="1357" t="e">
        <f t="shared" si="20"/>
        <v>#DIV/0!</v>
      </c>
      <c r="R45" s="800">
        <f t="shared" si="37"/>
        <v>0</v>
      </c>
      <c r="S45" s="2949"/>
      <c r="T45" s="1302"/>
      <c r="U45" s="2977"/>
    </row>
    <row r="46" spans="1:21" ht="14.25" customHeight="1" x14ac:dyDescent="0.2">
      <c r="A46" s="2811"/>
      <c r="B46" s="703" t="s">
        <v>13</v>
      </c>
      <c r="C46" s="2816"/>
      <c r="D46" s="704">
        <f>+D47</f>
        <v>2241484</v>
      </c>
      <c r="E46" s="705">
        <f>E47</f>
        <v>0</v>
      </c>
      <c r="F46" s="705">
        <f>F47</f>
        <v>0</v>
      </c>
      <c r="G46" s="705">
        <f>G47</f>
        <v>1125736</v>
      </c>
      <c r="H46" s="825">
        <f>H47</f>
        <v>1115748</v>
      </c>
      <c r="I46" s="704">
        <f>+I47</f>
        <v>2241484</v>
      </c>
      <c r="J46" s="705">
        <f>J47</f>
        <v>0</v>
      </c>
      <c r="K46" s="705">
        <f>K47</f>
        <v>0</v>
      </c>
      <c r="L46" s="705">
        <f>L47</f>
        <v>1125736</v>
      </c>
      <c r="M46" s="825">
        <f>M47</f>
        <v>1115748</v>
      </c>
      <c r="N46" s="847">
        <f t="shared" si="36"/>
        <v>0</v>
      </c>
      <c r="O46" s="1259">
        <f t="shared" si="22"/>
        <v>0</v>
      </c>
      <c r="P46" s="706">
        <f>+P47</f>
        <v>0</v>
      </c>
      <c r="Q46" s="1259">
        <f t="shared" si="20"/>
        <v>0</v>
      </c>
      <c r="R46" s="705">
        <f t="shared" si="37"/>
        <v>-281434</v>
      </c>
      <c r="S46" s="2950"/>
      <c r="T46" s="1302"/>
      <c r="U46" s="2977"/>
    </row>
    <row r="47" spans="1:21" ht="13.5" customHeight="1" thickBot="1" x14ac:dyDescent="0.25">
      <c r="A47" s="2812"/>
      <c r="B47" s="717" t="s">
        <v>15</v>
      </c>
      <c r="C47" s="2818"/>
      <c r="D47" s="718">
        <f>+E47+F47+G47+H47</f>
        <v>2241484</v>
      </c>
      <c r="E47" s="720"/>
      <c r="F47" s="720"/>
      <c r="G47" s="720">
        <v>1125736</v>
      </c>
      <c r="H47" s="1116">
        <v>1115748</v>
      </c>
      <c r="I47" s="718">
        <f>+J47+K47+L47+M47</f>
        <v>2241484</v>
      </c>
      <c r="J47" s="720"/>
      <c r="K47" s="720"/>
      <c r="L47" s="720">
        <v>1125736</v>
      </c>
      <c r="M47" s="1116">
        <v>1115748</v>
      </c>
      <c r="N47" s="1359">
        <f t="shared" si="36"/>
        <v>0</v>
      </c>
      <c r="O47" s="1360">
        <f t="shared" si="22"/>
        <v>0</v>
      </c>
      <c r="P47" s="719">
        <v>0</v>
      </c>
      <c r="Q47" s="1360">
        <f t="shared" si="20"/>
        <v>0</v>
      </c>
      <c r="R47" s="720">
        <f t="shared" si="37"/>
        <v>-281434</v>
      </c>
      <c r="S47" s="2967"/>
      <c r="T47" s="1302"/>
      <c r="U47" s="2977"/>
    </row>
    <row r="48" spans="1:21" ht="26.25" customHeight="1" x14ac:dyDescent="0.2">
      <c r="A48" s="2970" t="s">
        <v>48</v>
      </c>
      <c r="B48" s="746" t="s">
        <v>133</v>
      </c>
      <c r="C48" s="1341" t="s">
        <v>233</v>
      </c>
      <c r="D48" s="680"/>
      <c r="E48" s="678"/>
      <c r="F48" s="678"/>
      <c r="G48" s="678"/>
      <c r="H48" s="679"/>
      <c r="I48" s="680"/>
      <c r="J48" s="678"/>
      <c r="K48" s="678"/>
      <c r="L48" s="678"/>
      <c r="M48" s="679"/>
      <c r="N48" s="1355"/>
      <c r="O48" s="678"/>
      <c r="P48" s="678"/>
      <c r="Q48" s="678"/>
      <c r="R48" s="678"/>
      <c r="S48" s="2966" t="s">
        <v>134</v>
      </c>
      <c r="T48" s="1302"/>
    </row>
    <row r="49" spans="1:20" ht="13.5" customHeight="1" x14ac:dyDescent="0.2">
      <c r="A49" s="2829"/>
      <c r="B49" s="879" t="s">
        <v>3</v>
      </c>
      <c r="C49" s="566"/>
      <c r="D49" s="817">
        <f t="shared" ref="D49:H49" si="38">+D50+D53</f>
        <v>8911049</v>
      </c>
      <c r="E49" s="815">
        <f t="shared" si="38"/>
        <v>6339144</v>
      </c>
      <c r="F49" s="815">
        <f t="shared" si="38"/>
        <v>2571905</v>
      </c>
      <c r="G49" s="851">
        <f t="shared" si="38"/>
        <v>0</v>
      </c>
      <c r="H49" s="852">
        <f t="shared" si="38"/>
        <v>0</v>
      </c>
      <c r="I49" s="817">
        <f t="shared" ref="I49:N49" si="39">+I50+I53</f>
        <v>8911049</v>
      </c>
      <c r="J49" s="815">
        <f t="shared" si="39"/>
        <v>6339144</v>
      </c>
      <c r="K49" s="815">
        <f t="shared" si="39"/>
        <v>2571905</v>
      </c>
      <c r="L49" s="851">
        <f t="shared" si="39"/>
        <v>0</v>
      </c>
      <c r="M49" s="852">
        <f t="shared" si="39"/>
        <v>0</v>
      </c>
      <c r="N49" s="928">
        <f t="shared" si="39"/>
        <v>8911049</v>
      </c>
      <c r="O49" s="1277">
        <f>N49/D49*100</f>
        <v>100</v>
      </c>
      <c r="P49" s="851">
        <f t="shared" ref="P49" si="40">+P50+P53</f>
        <v>0</v>
      </c>
      <c r="Q49" s="922">
        <v>0</v>
      </c>
      <c r="R49" s="851">
        <f t="shared" si="15"/>
        <v>0</v>
      </c>
      <c r="S49" s="2949"/>
      <c r="T49" s="1302"/>
    </row>
    <row r="50" spans="1:20" ht="13.5" customHeight="1" x14ac:dyDescent="0.2">
      <c r="A50" s="2829"/>
      <c r="B50" s="904" t="s">
        <v>18</v>
      </c>
      <c r="C50" s="2771" t="s">
        <v>131</v>
      </c>
      <c r="D50" s="820">
        <f>+D51+D52</f>
        <v>1336658</v>
      </c>
      <c r="E50" s="821">
        <f>+E51+E52</f>
        <v>950872</v>
      </c>
      <c r="F50" s="821">
        <f>+F51+F52</f>
        <v>385786</v>
      </c>
      <c r="G50" s="853">
        <f>+G51+G52</f>
        <v>0</v>
      </c>
      <c r="H50" s="854">
        <f>+H52</f>
        <v>0</v>
      </c>
      <c r="I50" s="820">
        <f>+I51+I52</f>
        <v>1336658</v>
      </c>
      <c r="J50" s="821">
        <f>+J51+J52</f>
        <v>950872</v>
      </c>
      <c r="K50" s="821">
        <f>+K51+K52</f>
        <v>385786</v>
      </c>
      <c r="L50" s="853">
        <f>+L51+L52</f>
        <v>0</v>
      </c>
      <c r="M50" s="854">
        <f>+M52</f>
        <v>0</v>
      </c>
      <c r="N50" s="930">
        <f>+N52</f>
        <v>1336658</v>
      </c>
      <c r="O50" s="1259">
        <f t="shared" si="22"/>
        <v>100</v>
      </c>
      <c r="P50" s="853">
        <f>+P51+P52</f>
        <v>0</v>
      </c>
      <c r="Q50" s="853">
        <v>0</v>
      </c>
      <c r="R50" s="853">
        <f t="shared" si="15"/>
        <v>0</v>
      </c>
      <c r="S50" s="2949"/>
      <c r="T50" s="1302"/>
    </row>
    <row r="51" spans="1:20" ht="15.75" hidden="1" customHeight="1" x14ac:dyDescent="0.2">
      <c r="A51" s="2829"/>
      <c r="B51" s="696" t="s">
        <v>5</v>
      </c>
      <c r="C51" s="2816"/>
      <c r="D51" s="697">
        <f>+E51+F51+G51+H51</f>
        <v>0</v>
      </c>
      <c r="E51" s="699">
        <v>0</v>
      </c>
      <c r="F51" s="733"/>
      <c r="G51" s="735">
        <v>0</v>
      </c>
      <c r="H51" s="736"/>
      <c r="I51" s="697">
        <f>+J51+K51+L51+M51</f>
        <v>0</v>
      </c>
      <c r="J51" s="699">
        <v>0</v>
      </c>
      <c r="K51" s="733"/>
      <c r="L51" s="735">
        <v>0</v>
      </c>
      <c r="M51" s="736"/>
      <c r="N51" s="848"/>
      <c r="O51" s="1357" t="e">
        <f t="shared" si="22"/>
        <v>#DIV/0!</v>
      </c>
      <c r="P51" s="735">
        <v>0</v>
      </c>
      <c r="Q51" s="1336" t="e">
        <f t="shared" si="20"/>
        <v>#DIV/0!</v>
      </c>
      <c r="R51" s="735">
        <f t="shared" si="15"/>
        <v>0</v>
      </c>
      <c r="S51" s="2949"/>
      <c r="T51" s="1302"/>
    </row>
    <row r="52" spans="1:20" ht="14.25" customHeight="1" x14ac:dyDescent="0.2">
      <c r="A52" s="2829"/>
      <c r="B52" s="696" t="s">
        <v>8</v>
      </c>
      <c r="C52" s="2816"/>
      <c r="D52" s="697">
        <f>+E52+F52+G52+H52</f>
        <v>1336658</v>
      </c>
      <c r="E52" s="699">
        <f>396985-60614+352527+261974</f>
        <v>950872</v>
      </c>
      <c r="F52" s="699">
        <v>385786</v>
      </c>
      <c r="G52" s="698">
        <v>0</v>
      </c>
      <c r="H52" s="807">
        <v>0</v>
      </c>
      <c r="I52" s="697">
        <f>+J52+K52+L52+M52</f>
        <v>1336658</v>
      </c>
      <c r="J52" s="699">
        <f>396985-60614+352527+261974</f>
        <v>950872</v>
      </c>
      <c r="K52" s="699">
        <v>385786</v>
      </c>
      <c r="L52" s="698">
        <v>0</v>
      </c>
      <c r="M52" s="807">
        <v>0</v>
      </c>
      <c r="N52" s="848">
        <f>+P52+K52+J52</f>
        <v>1336658</v>
      </c>
      <c r="O52" s="1357">
        <f t="shared" si="22"/>
        <v>100</v>
      </c>
      <c r="P52" s="698">
        <v>0</v>
      </c>
      <c r="Q52" s="1336">
        <v>0</v>
      </c>
      <c r="R52" s="698">
        <f t="shared" si="15"/>
        <v>0</v>
      </c>
      <c r="S52" s="2949"/>
      <c r="T52" s="1302"/>
    </row>
    <row r="53" spans="1:20" ht="14.25" customHeight="1" x14ac:dyDescent="0.2">
      <c r="A53" s="2829"/>
      <c r="B53" s="795" t="s">
        <v>13</v>
      </c>
      <c r="C53" s="2816"/>
      <c r="D53" s="704">
        <f t="shared" ref="D53:H53" si="41">+D54</f>
        <v>7574391</v>
      </c>
      <c r="E53" s="705">
        <f t="shared" si="41"/>
        <v>5388272</v>
      </c>
      <c r="F53" s="705">
        <f t="shared" si="41"/>
        <v>2186119</v>
      </c>
      <c r="G53" s="706">
        <f t="shared" si="41"/>
        <v>0</v>
      </c>
      <c r="H53" s="707">
        <f t="shared" si="41"/>
        <v>0</v>
      </c>
      <c r="I53" s="704">
        <f t="shared" ref="I53:P53" si="42">+I54</f>
        <v>7574391</v>
      </c>
      <c r="J53" s="705">
        <f t="shared" si="42"/>
        <v>5388272</v>
      </c>
      <c r="K53" s="705">
        <f t="shared" si="42"/>
        <v>2186119</v>
      </c>
      <c r="L53" s="706">
        <f t="shared" si="42"/>
        <v>0</v>
      </c>
      <c r="M53" s="707">
        <f t="shared" si="42"/>
        <v>0</v>
      </c>
      <c r="N53" s="847">
        <f t="shared" si="42"/>
        <v>7574391</v>
      </c>
      <c r="O53" s="1259">
        <f t="shared" si="22"/>
        <v>100</v>
      </c>
      <c r="P53" s="706">
        <f t="shared" si="42"/>
        <v>0</v>
      </c>
      <c r="Q53" s="853">
        <v>0</v>
      </c>
      <c r="R53" s="706">
        <f t="shared" si="15"/>
        <v>0</v>
      </c>
      <c r="S53" s="2949"/>
      <c r="T53" s="1302"/>
    </row>
    <row r="54" spans="1:20" ht="14.25" customHeight="1" collapsed="1" x14ac:dyDescent="0.2">
      <c r="A54" s="2829"/>
      <c r="B54" s="696" t="s">
        <v>15</v>
      </c>
      <c r="C54" s="2816"/>
      <c r="D54" s="697">
        <f>+E54+F54+G54+H54</f>
        <v>7574391</v>
      </c>
      <c r="E54" s="699">
        <f>1906101+1997651+1484520</f>
        <v>5388272</v>
      </c>
      <c r="F54" s="733">
        <v>2186119</v>
      </c>
      <c r="G54" s="735">
        <v>0</v>
      </c>
      <c r="H54" s="736">
        <v>0</v>
      </c>
      <c r="I54" s="697">
        <f>+J54+K54+L54+M54</f>
        <v>7574391</v>
      </c>
      <c r="J54" s="699">
        <f>1906101+1997651+1484520</f>
        <v>5388272</v>
      </c>
      <c r="K54" s="733">
        <v>2186119</v>
      </c>
      <c r="L54" s="735">
        <v>0</v>
      </c>
      <c r="M54" s="736">
        <v>0</v>
      </c>
      <c r="N54" s="848">
        <f>+P54+K54+J54</f>
        <v>7574391</v>
      </c>
      <c r="O54" s="1357">
        <f t="shared" si="22"/>
        <v>100</v>
      </c>
      <c r="P54" s="735">
        <v>0</v>
      </c>
      <c r="Q54" s="1336">
        <v>0</v>
      </c>
      <c r="R54" s="735">
        <f t="shared" si="15"/>
        <v>0</v>
      </c>
      <c r="S54" s="2949"/>
      <c r="T54" s="1302"/>
    </row>
    <row r="55" spans="1:20" ht="14.25" customHeight="1" x14ac:dyDescent="0.2">
      <c r="A55" s="2897"/>
      <c r="B55" s="879" t="s">
        <v>17</v>
      </c>
      <c r="C55" s="566"/>
      <c r="D55" s="826">
        <f t="shared" ref="D55:H55" si="43">+D56+D58</f>
        <v>8911049</v>
      </c>
      <c r="E55" s="828">
        <f t="shared" si="43"/>
        <v>6339144</v>
      </c>
      <c r="F55" s="828">
        <f t="shared" si="43"/>
        <v>2571905</v>
      </c>
      <c r="G55" s="827">
        <f t="shared" si="43"/>
        <v>0</v>
      </c>
      <c r="H55" s="843">
        <f t="shared" si="43"/>
        <v>0</v>
      </c>
      <c r="I55" s="826">
        <f t="shared" ref="I55:N55" si="44">+I56+I58</f>
        <v>8911049</v>
      </c>
      <c r="J55" s="828">
        <f t="shared" si="44"/>
        <v>6339144</v>
      </c>
      <c r="K55" s="828">
        <f t="shared" si="44"/>
        <v>2571905</v>
      </c>
      <c r="L55" s="827">
        <f t="shared" si="44"/>
        <v>0</v>
      </c>
      <c r="M55" s="843">
        <f t="shared" si="44"/>
        <v>0</v>
      </c>
      <c r="N55" s="849">
        <f t="shared" si="44"/>
        <v>8911049</v>
      </c>
      <c r="O55" s="1277">
        <f t="shared" si="22"/>
        <v>100</v>
      </c>
      <c r="P55" s="827">
        <f t="shared" ref="P55" si="45">+P56+P58</f>
        <v>0</v>
      </c>
      <c r="Q55" s="922">
        <v>0</v>
      </c>
      <c r="R55" s="827">
        <f t="shared" si="15"/>
        <v>0</v>
      </c>
      <c r="S55" s="2950"/>
      <c r="T55" s="1302"/>
    </row>
    <row r="56" spans="1:20" ht="14.25" customHeight="1" x14ac:dyDescent="0.2">
      <c r="A56" s="2897"/>
      <c r="B56" s="904" t="s">
        <v>18</v>
      </c>
      <c r="C56" s="2825" t="s">
        <v>135</v>
      </c>
      <c r="D56" s="704">
        <f t="shared" ref="D56:H56" si="46">+D57</f>
        <v>1336658</v>
      </c>
      <c r="E56" s="705">
        <f t="shared" si="46"/>
        <v>950872</v>
      </c>
      <c r="F56" s="705">
        <f t="shared" si="46"/>
        <v>385786</v>
      </c>
      <c r="G56" s="706">
        <f t="shared" si="46"/>
        <v>0</v>
      </c>
      <c r="H56" s="707">
        <f t="shared" si="46"/>
        <v>0</v>
      </c>
      <c r="I56" s="704">
        <f t="shared" ref="I56:P56" si="47">+I57</f>
        <v>1336658</v>
      </c>
      <c r="J56" s="705">
        <f t="shared" si="47"/>
        <v>950872</v>
      </c>
      <c r="K56" s="705">
        <f t="shared" si="47"/>
        <v>385786</v>
      </c>
      <c r="L56" s="706">
        <f t="shared" si="47"/>
        <v>0</v>
      </c>
      <c r="M56" s="707">
        <f t="shared" si="47"/>
        <v>0</v>
      </c>
      <c r="N56" s="847">
        <f t="shared" si="47"/>
        <v>1336658</v>
      </c>
      <c r="O56" s="1259">
        <f t="shared" si="22"/>
        <v>100</v>
      </c>
      <c r="P56" s="706">
        <f t="shared" si="47"/>
        <v>0</v>
      </c>
      <c r="Q56" s="853">
        <v>0</v>
      </c>
      <c r="R56" s="706">
        <f t="shared" si="15"/>
        <v>0</v>
      </c>
      <c r="S56" s="2950"/>
      <c r="T56" s="1302"/>
    </row>
    <row r="57" spans="1:20" ht="14.25" customHeight="1" x14ac:dyDescent="0.2">
      <c r="A57" s="2897"/>
      <c r="B57" s="696" t="s">
        <v>8</v>
      </c>
      <c r="C57" s="2816"/>
      <c r="D57" s="697">
        <f>+E57+F57+G57+H57</f>
        <v>1336658</v>
      </c>
      <c r="E57" s="699">
        <f>396985-60614+352527+261974</f>
        <v>950872</v>
      </c>
      <c r="F57" s="699">
        <v>385786</v>
      </c>
      <c r="G57" s="698">
        <v>0</v>
      </c>
      <c r="H57" s="1361">
        <v>0</v>
      </c>
      <c r="I57" s="697">
        <f>+J57+K57+L57+M57</f>
        <v>1336658</v>
      </c>
      <c r="J57" s="699">
        <f>396985-60614+352527+261974</f>
        <v>950872</v>
      </c>
      <c r="K57" s="699">
        <v>385786</v>
      </c>
      <c r="L57" s="698">
        <v>0</v>
      </c>
      <c r="M57" s="1361">
        <v>0</v>
      </c>
      <c r="N57" s="1348">
        <f>+P57+K57+J57</f>
        <v>1336658</v>
      </c>
      <c r="O57" s="1357">
        <f t="shared" si="22"/>
        <v>100</v>
      </c>
      <c r="P57" s="698">
        <v>0</v>
      </c>
      <c r="Q57" s="1336">
        <v>0</v>
      </c>
      <c r="R57" s="698">
        <f t="shared" si="15"/>
        <v>0</v>
      </c>
      <c r="S57" s="2950"/>
      <c r="T57" s="1302"/>
    </row>
    <row r="58" spans="1:20" ht="14.25" customHeight="1" x14ac:dyDescent="0.2">
      <c r="A58" s="2897"/>
      <c r="B58" s="795" t="s">
        <v>13</v>
      </c>
      <c r="C58" s="2826"/>
      <c r="D58" s="704">
        <f t="shared" ref="D58:H58" si="48">+D59</f>
        <v>7574391</v>
      </c>
      <c r="E58" s="705">
        <f t="shared" si="48"/>
        <v>5388272</v>
      </c>
      <c r="F58" s="705">
        <f t="shared" si="48"/>
        <v>2186119</v>
      </c>
      <c r="G58" s="706">
        <f t="shared" si="48"/>
        <v>0</v>
      </c>
      <c r="H58" s="707">
        <f t="shared" si="48"/>
        <v>0</v>
      </c>
      <c r="I58" s="704">
        <f t="shared" ref="I58:P58" si="49">+I59</f>
        <v>7574391</v>
      </c>
      <c r="J58" s="705">
        <f t="shared" si="49"/>
        <v>5388272</v>
      </c>
      <c r="K58" s="705">
        <f t="shared" si="49"/>
        <v>2186119</v>
      </c>
      <c r="L58" s="706">
        <f t="shared" si="49"/>
        <v>0</v>
      </c>
      <c r="M58" s="707">
        <f t="shared" si="49"/>
        <v>0</v>
      </c>
      <c r="N58" s="847">
        <f t="shared" si="49"/>
        <v>7574391</v>
      </c>
      <c r="O58" s="1259">
        <f t="shared" si="22"/>
        <v>100</v>
      </c>
      <c r="P58" s="706">
        <f t="shared" si="49"/>
        <v>0</v>
      </c>
      <c r="Q58" s="853">
        <v>0</v>
      </c>
      <c r="R58" s="706">
        <f t="shared" si="15"/>
        <v>0</v>
      </c>
      <c r="S58" s="2950"/>
      <c r="T58" s="1302"/>
    </row>
    <row r="59" spans="1:20" ht="14.25" customHeight="1" thickBot="1" x14ac:dyDescent="0.25">
      <c r="A59" s="2898"/>
      <c r="B59" s="717" t="s">
        <v>15</v>
      </c>
      <c r="C59" s="2827"/>
      <c r="D59" s="718">
        <f>+E59+F59+G59+H59</f>
        <v>7574391</v>
      </c>
      <c r="E59" s="720">
        <f>1906101+1997651+1484520</f>
        <v>5388272</v>
      </c>
      <c r="F59" s="786">
        <v>2186119</v>
      </c>
      <c r="G59" s="903">
        <v>0</v>
      </c>
      <c r="H59" s="1362">
        <v>0</v>
      </c>
      <c r="I59" s="718">
        <f>+J59+K59+L59+M59</f>
        <v>7574391</v>
      </c>
      <c r="J59" s="720">
        <f>1906101+1997651+1484520</f>
        <v>5388272</v>
      </c>
      <c r="K59" s="786">
        <v>2186119</v>
      </c>
      <c r="L59" s="903">
        <v>0</v>
      </c>
      <c r="M59" s="1362">
        <v>0</v>
      </c>
      <c r="N59" s="1359">
        <f>+P59+K59+J59</f>
        <v>7574391</v>
      </c>
      <c r="O59" s="1360">
        <f t="shared" si="22"/>
        <v>100</v>
      </c>
      <c r="P59" s="903">
        <v>0</v>
      </c>
      <c r="Q59" s="1339">
        <v>0</v>
      </c>
      <c r="R59" s="903">
        <f t="shared" si="15"/>
        <v>0</v>
      </c>
      <c r="S59" s="2967"/>
      <c r="T59" s="1302"/>
    </row>
    <row r="60" spans="1:20" ht="27.75" customHeight="1" x14ac:dyDescent="0.2">
      <c r="A60" s="2970" t="s">
        <v>49</v>
      </c>
      <c r="B60" s="746" t="s">
        <v>136</v>
      </c>
      <c r="C60" s="1341" t="s">
        <v>233</v>
      </c>
      <c r="D60" s="680"/>
      <c r="E60" s="678"/>
      <c r="F60" s="678"/>
      <c r="G60" s="678"/>
      <c r="H60" s="679"/>
      <c r="I60" s="680"/>
      <c r="J60" s="678"/>
      <c r="K60" s="678"/>
      <c r="L60" s="678"/>
      <c r="M60" s="679"/>
      <c r="N60" s="1355"/>
      <c r="O60" s="678"/>
      <c r="P60" s="678"/>
      <c r="Q60" s="678"/>
      <c r="R60" s="678"/>
      <c r="S60" s="2966" t="s">
        <v>134</v>
      </c>
      <c r="T60" s="1302"/>
    </row>
    <row r="61" spans="1:20" s="1020" customFormat="1" ht="14.25" customHeight="1" x14ac:dyDescent="0.2">
      <c r="A61" s="2829"/>
      <c r="B61" s="879" t="s">
        <v>3</v>
      </c>
      <c r="C61" s="566"/>
      <c r="D61" s="817">
        <f t="shared" ref="D61:H61" si="50">+D62+D65</f>
        <v>5000000</v>
      </c>
      <c r="E61" s="815">
        <f t="shared" si="50"/>
        <v>0</v>
      </c>
      <c r="F61" s="815">
        <f t="shared" si="50"/>
        <v>50000</v>
      </c>
      <c r="G61" s="815">
        <f t="shared" si="50"/>
        <v>2900000</v>
      </c>
      <c r="H61" s="816">
        <f t="shared" si="50"/>
        <v>2050000</v>
      </c>
      <c r="I61" s="817">
        <f t="shared" ref="I61:N61" si="51">+I62+I65</f>
        <v>4993489</v>
      </c>
      <c r="J61" s="815">
        <f t="shared" si="51"/>
        <v>0</v>
      </c>
      <c r="K61" s="815">
        <f t="shared" si="51"/>
        <v>43489</v>
      </c>
      <c r="L61" s="815">
        <f t="shared" si="51"/>
        <v>2900000</v>
      </c>
      <c r="M61" s="816">
        <f t="shared" si="51"/>
        <v>2050000</v>
      </c>
      <c r="N61" s="928">
        <f t="shared" si="51"/>
        <v>261103</v>
      </c>
      <c r="O61" s="1277">
        <f t="shared" si="22"/>
        <v>5.2220599999999999</v>
      </c>
      <c r="P61" s="815">
        <f>+P62+P65</f>
        <v>217614</v>
      </c>
      <c r="Q61" s="1277">
        <f t="shared" si="20"/>
        <v>7.5039310344827577</v>
      </c>
      <c r="R61" s="815">
        <f t="shared" si="15"/>
        <v>-507386</v>
      </c>
      <c r="S61" s="2949"/>
      <c r="T61" s="1363"/>
    </row>
    <row r="62" spans="1:20" s="1369" customFormat="1" ht="14.25" customHeight="1" x14ac:dyDescent="0.2">
      <c r="A62" s="2829"/>
      <c r="B62" s="1364" t="s">
        <v>18</v>
      </c>
      <c r="C62" s="2832" t="s">
        <v>137</v>
      </c>
      <c r="D62" s="1365">
        <f t="shared" ref="D62:H62" si="52">+D63+D64</f>
        <v>750000</v>
      </c>
      <c r="E62" s="893">
        <f t="shared" si="52"/>
        <v>0</v>
      </c>
      <c r="F62" s="731">
        <f t="shared" si="52"/>
        <v>7500</v>
      </c>
      <c r="G62" s="731">
        <f t="shared" si="52"/>
        <v>435000</v>
      </c>
      <c r="H62" s="1366">
        <f t="shared" si="52"/>
        <v>307500</v>
      </c>
      <c r="I62" s="1365">
        <f t="shared" ref="I62:M62" si="53">+I63+I64</f>
        <v>749023</v>
      </c>
      <c r="J62" s="893">
        <f t="shared" si="53"/>
        <v>0</v>
      </c>
      <c r="K62" s="731">
        <f t="shared" si="53"/>
        <v>6523</v>
      </c>
      <c r="L62" s="731">
        <f t="shared" si="53"/>
        <v>435000</v>
      </c>
      <c r="M62" s="1366">
        <f t="shared" si="53"/>
        <v>307500</v>
      </c>
      <c r="N62" s="1367">
        <f>+N64</f>
        <v>39165</v>
      </c>
      <c r="O62" s="1259">
        <f t="shared" si="22"/>
        <v>5.2220000000000004</v>
      </c>
      <c r="P62" s="731">
        <f>+P63+P64</f>
        <v>32642</v>
      </c>
      <c r="Q62" s="1259">
        <f t="shared" si="20"/>
        <v>7.5039080459770116</v>
      </c>
      <c r="R62" s="731">
        <f t="shared" si="15"/>
        <v>-76108</v>
      </c>
      <c r="S62" s="2949"/>
      <c r="T62" s="1368"/>
    </row>
    <row r="63" spans="1:20" ht="13.5" hidden="1" customHeight="1" x14ac:dyDescent="0.2">
      <c r="A63" s="2829"/>
      <c r="B63" s="1370" t="s">
        <v>5</v>
      </c>
      <c r="C63" s="2769"/>
      <c r="D63" s="710">
        <v>0</v>
      </c>
      <c r="E63" s="1371">
        <v>0</v>
      </c>
      <c r="F63" s="1372"/>
      <c r="G63" s="698">
        <v>0</v>
      </c>
      <c r="H63" s="700">
        <v>0</v>
      </c>
      <c r="I63" s="710">
        <v>0</v>
      </c>
      <c r="J63" s="1371">
        <v>0</v>
      </c>
      <c r="K63" s="1372"/>
      <c r="L63" s="698">
        <v>0</v>
      </c>
      <c r="M63" s="700">
        <v>0</v>
      </c>
      <c r="N63" s="1335">
        <v>0</v>
      </c>
      <c r="O63" s="1357" t="e">
        <f t="shared" si="22"/>
        <v>#DIV/0!</v>
      </c>
      <c r="P63" s="698">
        <v>0</v>
      </c>
      <c r="Q63" s="1357" t="e">
        <f t="shared" si="20"/>
        <v>#DIV/0!</v>
      </c>
      <c r="R63" s="698">
        <f t="shared" si="15"/>
        <v>0</v>
      </c>
      <c r="S63" s="2949"/>
      <c r="T63" s="1302"/>
    </row>
    <row r="64" spans="1:20" ht="14.25" customHeight="1" x14ac:dyDescent="0.2">
      <c r="A64" s="2829"/>
      <c r="B64" s="1370" t="s">
        <v>8</v>
      </c>
      <c r="C64" s="2769"/>
      <c r="D64" s="1373">
        <f>+E64+F64+G64+H64</f>
        <v>750000</v>
      </c>
      <c r="E64" s="1371">
        <v>0</v>
      </c>
      <c r="F64" s="1372">
        <v>7500</v>
      </c>
      <c r="G64" s="1372">
        <v>435000</v>
      </c>
      <c r="H64" s="1374">
        <f>194022+113478</f>
        <v>307500</v>
      </c>
      <c r="I64" s="1373">
        <f>+J64+K64+L64+M64</f>
        <v>749023</v>
      </c>
      <c r="J64" s="1371">
        <v>0</v>
      </c>
      <c r="K64" s="1372">
        <v>6523</v>
      </c>
      <c r="L64" s="1372">
        <v>435000</v>
      </c>
      <c r="M64" s="1374">
        <f>194022+113478</f>
        <v>307500</v>
      </c>
      <c r="N64" s="1375">
        <f>+P64+K64+J64</f>
        <v>39165</v>
      </c>
      <c r="O64" s="1357">
        <f t="shared" si="22"/>
        <v>5.2220000000000004</v>
      </c>
      <c r="P64" s="1372">
        <v>32642</v>
      </c>
      <c r="Q64" s="1357">
        <f t="shared" si="20"/>
        <v>7.5039080459770116</v>
      </c>
      <c r="R64" s="1372">
        <f t="shared" si="15"/>
        <v>-76108</v>
      </c>
      <c r="S64" s="2949"/>
      <c r="T64" s="1302"/>
    </row>
    <row r="65" spans="1:20" s="1369" customFormat="1" ht="14.25" customHeight="1" x14ac:dyDescent="0.2">
      <c r="A65" s="2829"/>
      <c r="B65" s="1376" t="s">
        <v>13</v>
      </c>
      <c r="C65" s="2769"/>
      <c r="D65" s="1365">
        <f t="shared" ref="D65:H65" si="54">+D66</f>
        <v>4250000</v>
      </c>
      <c r="E65" s="893">
        <f t="shared" si="54"/>
        <v>0</v>
      </c>
      <c r="F65" s="731">
        <f t="shared" si="54"/>
        <v>42500</v>
      </c>
      <c r="G65" s="731">
        <f t="shared" si="54"/>
        <v>2465000</v>
      </c>
      <c r="H65" s="1366">
        <f t="shared" si="54"/>
        <v>1742500</v>
      </c>
      <c r="I65" s="1365">
        <f t="shared" ref="I65:N65" si="55">+I66</f>
        <v>4244466</v>
      </c>
      <c r="J65" s="893">
        <f t="shared" si="55"/>
        <v>0</v>
      </c>
      <c r="K65" s="731">
        <f t="shared" si="55"/>
        <v>36966</v>
      </c>
      <c r="L65" s="731">
        <f t="shared" si="55"/>
        <v>2465000</v>
      </c>
      <c r="M65" s="1366">
        <f t="shared" si="55"/>
        <v>1742500</v>
      </c>
      <c r="N65" s="1367">
        <f t="shared" si="55"/>
        <v>221938</v>
      </c>
      <c r="O65" s="1259">
        <f t="shared" si="22"/>
        <v>5.2220705882352938</v>
      </c>
      <c r="P65" s="731">
        <f>+P66</f>
        <v>184972</v>
      </c>
      <c r="Q65" s="1259">
        <f t="shared" si="20"/>
        <v>7.5039350912778895</v>
      </c>
      <c r="R65" s="731">
        <f t="shared" si="15"/>
        <v>-431278</v>
      </c>
      <c r="S65" s="2949"/>
      <c r="T65" s="1368"/>
    </row>
    <row r="66" spans="1:20" ht="14.25" customHeight="1" x14ac:dyDescent="0.2">
      <c r="A66" s="2829"/>
      <c r="B66" s="1370" t="s">
        <v>15</v>
      </c>
      <c r="C66" s="2769"/>
      <c r="D66" s="1373">
        <f>+E66+F66+G66+H66</f>
        <v>4250000</v>
      </c>
      <c r="E66" s="1371">
        <v>0</v>
      </c>
      <c r="F66" s="1372">
        <v>42500</v>
      </c>
      <c r="G66" s="1372">
        <v>2465000</v>
      </c>
      <c r="H66" s="1374">
        <f>1099458+643042</f>
        <v>1742500</v>
      </c>
      <c r="I66" s="1373">
        <f>+J66+K66+L66+M66</f>
        <v>4244466</v>
      </c>
      <c r="J66" s="1371">
        <v>0</v>
      </c>
      <c r="K66" s="1372">
        <v>36966</v>
      </c>
      <c r="L66" s="1372">
        <v>2465000</v>
      </c>
      <c r="M66" s="1374">
        <f>1099458+643042</f>
        <v>1742500</v>
      </c>
      <c r="N66" s="1375">
        <f>+P66+K66+J66</f>
        <v>221938</v>
      </c>
      <c r="O66" s="1357">
        <f t="shared" si="22"/>
        <v>5.2220705882352938</v>
      </c>
      <c r="P66" s="1372">
        <v>184972</v>
      </c>
      <c r="Q66" s="1357">
        <f t="shared" si="20"/>
        <v>7.5039350912778895</v>
      </c>
      <c r="R66" s="1372">
        <f t="shared" si="15"/>
        <v>-431278</v>
      </c>
      <c r="S66" s="2949"/>
      <c r="T66" s="1302"/>
    </row>
    <row r="67" spans="1:20" ht="14.25" customHeight="1" x14ac:dyDescent="0.2">
      <c r="A67" s="2897"/>
      <c r="B67" s="1377" t="s">
        <v>17</v>
      </c>
      <c r="C67" s="566"/>
      <c r="D67" s="826">
        <f t="shared" ref="D67:H67" si="56">+D68+D70</f>
        <v>5000000</v>
      </c>
      <c r="E67" s="828">
        <f t="shared" si="56"/>
        <v>0</v>
      </c>
      <c r="F67" s="828">
        <f t="shared" si="56"/>
        <v>407000</v>
      </c>
      <c r="G67" s="828">
        <f t="shared" si="56"/>
        <v>2543000</v>
      </c>
      <c r="H67" s="875">
        <f t="shared" si="56"/>
        <v>2050000</v>
      </c>
      <c r="I67" s="826">
        <f t="shared" ref="I67:N67" si="57">+I68+I70</f>
        <v>4999023</v>
      </c>
      <c r="J67" s="828">
        <f t="shared" si="57"/>
        <v>0</v>
      </c>
      <c r="K67" s="828">
        <f t="shared" si="57"/>
        <v>406023</v>
      </c>
      <c r="L67" s="828">
        <f t="shared" si="57"/>
        <v>2543000</v>
      </c>
      <c r="M67" s="875">
        <f t="shared" si="57"/>
        <v>2050000</v>
      </c>
      <c r="N67" s="849">
        <f t="shared" si="57"/>
        <v>470000</v>
      </c>
      <c r="O67" s="1277">
        <f t="shared" si="22"/>
        <v>9.4</v>
      </c>
      <c r="P67" s="828">
        <f>+P68+P70</f>
        <v>63977</v>
      </c>
      <c r="Q67" s="1277">
        <f t="shared" si="20"/>
        <v>2.5158081006685018</v>
      </c>
      <c r="R67" s="828">
        <f t="shared" si="15"/>
        <v>-571773</v>
      </c>
      <c r="S67" s="2950"/>
      <c r="T67" s="1302"/>
    </row>
    <row r="68" spans="1:20" s="1369" customFormat="1" ht="14.25" customHeight="1" x14ac:dyDescent="0.2">
      <c r="A68" s="2897"/>
      <c r="B68" s="1364" t="s">
        <v>18</v>
      </c>
      <c r="C68" s="2971" t="s">
        <v>138</v>
      </c>
      <c r="D68" s="1365">
        <f t="shared" ref="D68:H68" si="58">+D69</f>
        <v>750000</v>
      </c>
      <c r="E68" s="893">
        <f t="shared" si="58"/>
        <v>0</v>
      </c>
      <c r="F68" s="731">
        <f t="shared" si="58"/>
        <v>7500</v>
      </c>
      <c r="G68" s="731">
        <f t="shared" si="58"/>
        <v>435000</v>
      </c>
      <c r="H68" s="1366">
        <f t="shared" si="58"/>
        <v>307500</v>
      </c>
      <c r="I68" s="1365">
        <f t="shared" ref="I68:N68" si="59">+I69</f>
        <v>749023</v>
      </c>
      <c r="J68" s="893">
        <f t="shared" si="59"/>
        <v>0</v>
      </c>
      <c r="K68" s="731">
        <f t="shared" si="59"/>
        <v>6523</v>
      </c>
      <c r="L68" s="731">
        <f t="shared" si="59"/>
        <v>435000</v>
      </c>
      <c r="M68" s="1366">
        <f t="shared" si="59"/>
        <v>307500</v>
      </c>
      <c r="N68" s="1367">
        <f t="shared" si="59"/>
        <v>70500</v>
      </c>
      <c r="O68" s="1259">
        <f t="shared" si="22"/>
        <v>9.4</v>
      </c>
      <c r="P68" s="731">
        <f>+P69</f>
        <v>63977</v>
      </c>
      <c r="Q68" s="1259">
        <f t="shared" si="20"/>
        <v>14.707356321839079</v>
      </c>
      <c r="R68" s="731">
        <f t="shared" si="15"/>
        <v>-44773</v>
      </c>
      <c r="S68" s="2950"/>
      <c r="T68" s="1368"/>
    </row>
    <row r="69" spans="1:20" ht="14.25" customHeight="1" x14ac:dyDescent="0.2">
      <c r="A69" s="2897"/>
      <c r="B69" s="1370" t="s">
        <v>8</v>
      </c>
      <c r="C69" s="2769"/>
      <c r="D69" s="1373">
        <f>+E69+F69+G69+H69</f>
        <v>750000</v>
      </c>
      <c r="E69" s="1371">
        <v>0</v>
      </c>
      <c r="F69" s="1372">
        <v>7500</v>
      </c>
      <c r="G69" s="1372">
        <v>435000</v>
      </c>
      <c r="H69" s="1374">
        <f>194022+113478</f>
        <v>307500</v>
      </c>
      <c r="I69" s="1373">
        <f>+J69+K69+L69+M69</f>
        <v>749023</v>
      </c>
      <c r="J69" s="1371">
        <v>0</v>
      </c>
      <c r="K69" s="1372">
        <v>6523</v>
      </c>
      <c r="L69" s="1372">
        <v>435000</v>
      </c>
      <c r="M69" s="1374">
        <f>194022+113478</f>
        <v>307500</v>
      </c>
      <c r="N69" s="1375">
        <f>+P69+K69+J69</f>
        <v>70500</v>
      </c>
      <c r="O69" s="1357">
        <f t="shared" si="22"/>
        <v>9.4</v>
      </c>
      <c r="P69" s="1372">
        <v>63977</v>
      </c>
      <c r="Q69" s="1357">
        <f t="shared" si="20"/>
        <v>14.707356321839079</v>
      </c>
      <c r="R69" s="1372">
        <f t="shared" si="15"/>
        <v>-44773</v>
      </c>
      <c r="S69" s="2950"/>
      <c r="T69" s="1302"/>
    </row>
    <row r="70" spans="1:20" s="1369" customFormat="1" ht="14.25" customHeight="1" x14ac:dyDescent="0.2">
      <c r="A70" s="2897"/>
      <c r="B70" s="1376" t="s">
        <v>13</v>
      </c>
      <c r="C70" s="2915"/>
      <c r="D70" s="1365">
        <f t="shared" ref="D70:H70" si="60">+D71</f>
        <v>4250000</v>
      </c>
      <c r="E70" s="893">
        <f t="shared" si="60"/>
        <v>0</v>
      </c>
      <c r="F70" s="731">
        <f t="shared" si="60"/>
        <v>399500</v>
      </c>
      <c r="G70" s="731">
        <f t="shared" si="60"/>
        <v>2108000</v>
      </c>
      <c r="H70" s="1366">
        <f t="shared" si="60"/>
        <v>1742500</v>
      </c>
      <c r="I70" s="1365">
        <f t="shared" ref="I70:N70" si="61">+I71</f>
        <v>4250000</v>
      </c>
      <c r="J70" s="893">
        <f t="shared" si="61"/>
        <v>0</v>
      </c>
      <c r="K70" s="731">
        <f t="shared" si="61"/>
        <v>399500</v>
      </c>
      <c r="L70" s="731">
        <f t="shared" si="61"/>
        <v>2108000</v>
      </c>
      <c r="M70" s="1366">
        <f t="shared" si="61"/>
        <v>1742500</v>
      </c>
      <c r="N70" s="1367">
        <f t="shared" si="61"/>
        <v>399500</v>
      </c>
      <c r="O70" s="1259">
        <f t="shared" si="22"/>
        <v>9.4</v>
      </c>
      <c r="P70" s="731">
        <f>+P71</f>
        <v>0</v>
      </c>
      <c r="Q70" s="1259">
        <f t="shared" si="20"/>
        <v>0</v>
      </c>
      <c r="R70" s="731">
        <f t="shared" si="15"/>
        <v>-527000</v>
      </c>
      <c r="S70" s="2950"/>
      <c r="T70" s="1368"/>
    </row>
    <row r="71" spans="1:20" ht="14.25" customHeight="1" thickBot="1" x14ac:dyDescent="0.25">
      <c r="A71" s="2898"/>
      <c r="B71" s="1378" t="s">
        <v>15</v>
      </c>
      <c r="C71" s="2900"/>
      <c r="D71" s="1379">
        <f>+E71+F71+G71+H71</f>
        <v>4250000</v>
      </c>
      <c r="E71" s="1380">
        <v>0</v>
      </c>
      <c r="F71" s="1372">
        <v>399500</v>
      </c>
      <c r="G71" s="1372">
        <v>2108000</v>
      </c>
      <c r="H71" s="1374">
        <f>1099458+643042</f>
        <v>1742500</v>
      </c>
      <c r="I71" s="1379">
        <f>+J71+K71+L71+M71</f>
        <v>4250000</v>
      </c>
      <c r="J71" s="1380">
        <v>0</v>
      </c>
      <c r="K71" s="1372">
        <v>399500</v>
      </c>
      <c r="L71" s="1372">
        <v>2108000</v>
      </c>
      <c r="M71" s="1374">
        <f>1099458+643042</f>
        <v>1742500</v>
      </c>
      <c r="N71" s="1375">
        <f>+P71+K71+J71</f>
        <v>399500</v>
      </c>
      <c r="O71" s="1360">
        <f t="shared" si="22"/>
        <v>9.4</v>
      </c>
      <c r="P71" s="1372"/>
      <c r="Q71" s="1360">
        <f t="shared" si="20"/>
        <v>0</v>
      </c>
      <c r="R71" s="1381">
        <f t="shared" si="15"/>
        <v>-527000</v>
      </c>
      <c r="S71" s="2967"/>
      <c r="T71" s="1302"/>
    </row>
    <row r="72" spans="1:20" ht="24.75" customHeight="1" x14ac:dyDescent="0.2">
      <c r="A72" s="2970" t="s">
        <v>51</v>
      </c>
      <c r="B72" s="746" t="s">
        <v>139</v>
      </c>
      <c r="C72" s="676" t="s">
        <v>233</v>
      </c>
      <c r="D72" s="680"/>
      <c r="E72" s="678"/>
      <c r="F72" s="678"/>
      <c r="G72" s="678"/>
      <c r="H72" s="679"/>
      <c r="I72" s="680"/>
      <c r="J72" s="678"/>
      <c r="K72" s="678"/>
      <c r="L72" s="678"/>
      <c r="M72" s="679"/>
      <c r="N72" s="1355"/>
      <c r="O72" s="678"/>
      <c r="P72" s="678"/>
      <c r="Q72" s="678"/>
      <c r="R72" s="678"/>
      <c r="S72" s="2966" t="s">
        <v>134</v>
      </c>
      <c r="T72" s="1302"/>
    </row>
    <row r="73" spans="1:20" ht="15.75" customHeight="1" x14ac:dyDescent="0.2">
      <c r="A73" s="2829"/>
      <c r="B73" s="879" t="s">
        <v>3</v>
      </c>
      <c r="C73" s="566"/>
      <c r="D73" s="817">
        <f t="shared" ref="D73:F73" si="62">+D74+D77</f>
        <v>1623156</v>
      </c>
      <c r="E73" s="815">
        <f t="shared" si="62"/>
        <v>668503</v>
      </c>
      <c r="F73" s="815">
        <f t="shared" si="62"/>
        <v>465213</v>
      </c>
      <c r="G73" s="815">
        <f>+G74+G77</f>
        <v>489440</v>
      </c>
      <c r="H73" s="816">
        <f t="shared" ref="H73" si="63">+H74+H77</f>
        <v>0</v>
      </c>
      <c r="I73" s="817">
        <f t="shared" ref="I73:N73" si="64">+I74+I77</f>
        <v>1623156</v>
      </c>
      <c r="J73" s="815">
        <f t="shared" si="64"/>
        <v>668503</v>
      </c>
      <c r="K73" s="815">
        <f t="shared" si="64"/>
        <v>465213</v>
      </c>
      <c r="L73" s="815">
        <f>+L74+L77</f>
        <v>489440</v>
      </c>
      <c r="M73" s="816">
        <f t="shared" si="64"/>
        <v>0</v>
      </c>
      <c r="N73" s="928">
        <f t="shared" si="64"/>
        <v>1229514</v>
      </c>
      <c r="O73" s="1277">
        <f t="shared" si="22"/>
        <v>75.748356904696777</v>
      </c>
      <c r="P73" s="815">
        <f>+P74+P77</f>
        <v>95798</v>
      </c>
      <c r="Q73" s="1277">
        <f t="shared" si="20"/>
        <v>19.572981366459626</v>
      </c>
      <c r="R73" s="815">
        <f t="shared" si="15"/>
        <v>-26562</v>
      </c>
      <c r="S73" s="2949"/>
      <c r="T73" s="1302"/>
    </row>
    <row r="74" spans="1:20" ht="15.75" customHeight="1" x14ac:dyDescent="0.2">
      <c r="A74" s="2829"/>
      <c r="B74" s="1382" t="s">
        <v>18</v>
      </c>
      <c r="C74" s="2972" t="s">
        <v>140</v>
      </c>
      <c r="D74" s="820">
        <f>+D75+D76</f>
        <v>243473</v>
      </c>
      <c r="E74" s="821">
        <f>+E75+E76</f>
        <v>100275</v>
      </c>
      <c r="F74" s="821">
        <f>+F75+F76</f>
        <v>69782</v>
      </c>
      <c r="G74" s="821">
        <f>+G75+G76</f>
        <v>73416</v>
      </c>
      <c r="H74" s="822">
        <f>++H75+H76</f>
        <v>0</v>
      </c>
      <c r="I74" s="820">
        <f>+I75+I76</f>
        <v>243473</v>
      </c>
      <c r="J74" s="821">
        <f>+J75+J76</f>
        <v>100275</v>
      </c>
      <c r="K74" s="821">
        <f>+K75+K76</f>
        <v>69782</v>
      </c>
      <c r="L74" s="821">
        <f>+L75+L76</f>
        <v>73416</v>
      </c>
      <c r="M74" s="822">
        <f>++M75+M76</f>
        <v>0</v>
      </c>
      <c r="N74" s="930">
        <f>+P74+K74+J74</f>
        <v>184427</v>
      </c>
      <c r="O74" s="1259">
        <f t="shared" si="22"/>
        <v>75.748440278798881</v>
      </c>
      <c r="P74" s="821">
        <f>+P75+P76</f>
        <v>14370</v>
      </c>
      <c r="Q74" s="1259">
        <f t="shared" si="20"/>
        <v>19.57338999673096</v>
      </c>
      <c r="R74" s="821">
        <f t="shared" si="15"/>
        <v>-3984</v>
      </c>
      <c r="S74" s="2949"/>
      <c r="T74" s="1302"/>
    </row>
    <row r="75" spans="1:20" ht="14.25" hidden="1" customHeight="1" x14ac:dyDescent="0.2">
      <c r="A75" s="2829"/>
      <c r="B75" s="696" t="s">
        <v>5</v>
      </c>
      <c r="C75" s="2973"/>
      <c r="D75" s="697">
        <f>+E75+F75+G75+H75</f>
        <v>0</v>
      </c>
      <c r="E75" s="699">
        <v>0</v>
      </c>
      <c r="F75" s="733"/>
      <c r="G75" s="733">
        <v>0</v>
      </c>
      <c r="H75" s="824">
        <v>0</v>
      </c>
      <c r="I75" s="697">
        <f>+J75+K75+L75+M75</f>
        <v>0</v>
      </c>
      <c r="J75" s="699">
        <v>0</v>
      </c>
      <c r="K75" s="733"/>
      <c r="L75" s="733">
        <v>0</v>
      </c>
      <c r="M75" s="824">
        <v>0</v>
      </c>
      <c r="N75" s="848">
        <v>0</v>
      </c>
      <c r="O75" s="1357" t="e">
        <f t="shared" si="22"/>
        <v>#DIV/0!</v>
      </c>
      <c r="P75" s="699">
        <v>0</v>
      </c>
      <c r="Q75" s="1357" t="e">
        <f t="shared" si="20"/>
        <v>#DIV/0!</v>
      </c>
      <c r="R75" s="733">
        <f t="shared" si="15"/>
        <v>0</v>
      </c>
      <c r="S75" s="2949"/>
      <c r="T75" s="1302"/>
    </row>
    <row r="76" spans="1:20" ht="14.25" customHeight="1" x14ac:dyDescent="0.2">
      <c r="A76" s="2829"/>
      <c r="B76" s="696" t="s">
        <v>8</v>
      </c>
      <c r="C76" s="2973"/>
      <c r="D76" s="697">
        <f>+E76+F76+G76+H76</f>
        <v>243473</v>
      </c>
      <c r="E76" s="699">
        <f>1297+43240+55738</f>
        <v>100275</v>
      </c>
      <c r="F76" s="699">
        <v>69782</v>
      </c>
      <c r="G76" s="699">
        <v>73416</v>
      </c>
      <c r="H76" s="1358">
        <v>0</v>
      </c>
      <c r="I76" s="697">
        <f>+J76+K76+L76+M76</f>
        <v>243473</v>
      </c>
      <c r="J76" s="699">
        <f>1297+43240+55738</f>
        <v>100275</v>
      </c>
      <c r="K76" s="699">
        <v>69782</v>
      </c>
      <c r="L76" s="699">
        <v>73416</v>
      </c>
      <c r="M76" s="1358">
        <v>0</v>
      </c>
      <c r="N76" s="848">
        <f>+P76+K76+J76</f>
        <v>184427</v>
      </c>
      <c r="O76" s="1357">
        <f t="shared" si="22"/>
        <v>75.748440278798881</v>
      </c>
      <c r="P76" s="699">
        <v>14370</v>
      </c>
      <c r="Q76" s="1357">
        <f t="shared" si="20"/>
        <v>19.57338999673096</v>
      </c>
      <c r="R76" s="699">
        <f t="shared" si="15"/>
        <v>-3984</v>
      </c>
      <c r="S76" s="2949"/>
      <c r="T76" s="1302"/>
    </row>
    <row r="77" spans="1:20" ht="14.25" customHeight="1" x14ac:dyDescent="0.2">
      <c r="A77" s="2829"/>
      <c r="B77" s="1383" t="s">
        <v>13</v>
      </c>
      <c r="C77" s="2973"/>
      <c r="D77" s="704">
        <f t="shared" ref="D77:H77" si="65">+D78</f>
        <v>1379683</v>
      </c>
      <c r="E77" s="705">
        <f t="shared" si="65"/>
        <v>568228</v>
      </c>
      <c r="F77" s="705">
        <f t="shared" si="65"/>
        <v>395431</v>
      </c>
      <c r="G77" s="705">
        <f t="shared" si="65"/>
        <v>416024</v>
      </c>
      <c r="H77" s="825">
        <f t="shared" si="65"/>
        <v>0</v>
      </c>
      <c r="I77" s="704">
        <f t="shared" ref="I77:N77" si="66">+I78</f>
        <v>1379683</v>
      </c>
      <c r="J77" s="705">
        <f t="shared" si="66"/>
        <v>568228</v>
      </c>
      <c r="K77" s="705">
        <f t="shared" si="66"/>
        <v>395431</v>
      </c>
      <c r="L77" s="705">
        <f t="shared" si="66"/>
        <v>416024</v>
      </c>
      <c r="M77" s="825">
        <f t="shared" si="66"/>
        <v>0</v>
      </c>
      <c r="N77" s="847">
        <f t="shared" si="66"/>
        <v>1045087</v>
      </c>
      <c r="O77" s="1259">
        <f t="shared" si="22"/>
        <v>75.748342191648376</v>
      </c>
      <c r="P77" s="705">
        <f>+P78</f>
        <v>81428</v>
      </c>
      <c r="Q77" s="1259">
        <f t="shared" si="20"/>
        <v>19.572909255235274</v>
      </c>
      <c r="R77" s="705">
        <f t="shared" si="15"/>
        <v>-22578</v>
      </c>
      <c r="S77" s="2949"/>
      <c r="T77" s="1302"/>
    </row>
    <row r="78" spans="1:20" ht="14.25" customHeight="1" collapsed="1" x14ac:dyDescent="0.2">
      <c r="A78" s="2829"/>
      <c r="B78" s="696" t="s">
        <v>15</v>
      </c>
      <c r="C78" s="2973"/>
      <c r="D78" s="697">
        <f>+E78+F78+G78+H78</f>
        <v>1379683</v>
      </c>
      <c r="E78" s="699">
        <f>7350+245028+315850</f>
        <v>568228</v>
      </c>
      <c r="F78" s="699">
        <v>395431</v>
      </c>
      <c r="G78" s="733">
        <v>416024</v>
      </c>
      <c r="H78" s="824">
        <v>0</v>
      </c>
      <c r="I78" s="697">
        <f>+J78+K78+L78+M78</f>
        <v>1379683</v>
      </c>
      <c r="J78" s="699">
        <f>7350+245028+315850</f>
        <v>568228</v>
      </c>
      <c r="K78" s="699">
        <v>395431</v>
      </c>
      <c r="L78" s="733">
        <v>416024</v>
      </c>
      <c r="M78" s="824">
        <v>0</v>
      </c>
      <c r="N78" s="848">
        <f>+P78+K78+J78</f>
        <v>1045087</v>
      </c>
      <c r="O78" s="1357">
        <f t="shared" si="22"/>
        <v>75.748342191648376</v>
      </c>
      <c r="P78" s="699">
        <v>81428</v>
      </c>
      <c r="Q78" s="1357">
        <f t="shared" si="20"/>
        <v>19.572909255235274</v>
      </c>
      <c r="R78" s="733">
        <f t="shared" si="15"/>
        <v>-22578</v>
      </c>
      <c r="S78" s="2949"/>
      <c r="T78" s="1302"/>
    </row>
    <row r="79" spans="1:20" ht="14.25" customHeight="1" x14ac:dyDescent="0.2">
      <c r="A79" s="2897"/>
      <c r="B79" s="879" t="s">
        <v>17</v>
      </c>
      <c r="C79" s="566"/>
      <c r="D79" s="826">
        <f t="shared" ref="D79:H79" si="67">+D80+D82</f>
        <v>1623156</v>
      </c>
      <c r="E79" s="828">
        <f t="shared" si="67"/>
        <v>668503</v>
      </c>
      <c r="F79" s="828">
        <f t="shared" si="67"/>
        <v>465213</v>
      </c>
      <c r="G79" s="828">
        <f t="shared" si="67"/>
        <v>489440</v>
      </c>
      <c r="H79" s="875">
        <f t="shared" si="67"/>
        <v>0</v>
      </c>
      <c r="I79" s="826">
        <f t="shared" ref="I79:N79" si="68">+I80+I82</f>
        <v>1623156</v>
      </c>
      <c r="J79" s="828">
        <f t="shared" si="68"/>
        <v>668503</v>
      </c>
      <c r="K79" s="828">
        <f t="shared" si="68"/>
        <v>465213</v>
      </c>
      <c r="L79" s="828">
        <f t="shared" si="68"/>
        <v>489440</v>
      </c>
      <c r="M79" s="875">
        <f t="shared" si="68"/>
        <v>0</v>
      </c>
      <c r="N79" s="849">
        <f t="shared" si="68"/>
        <v>1255716</v>
      </c>
      <c r="O79" s="1277">
        <f t="shared" si="22"/>
        <v>77.362619489439084</v>
      </c>
      <c r="P79" s="828">
        <f>+P80+P82</f>
        <v>122000</v>
      </c>
      <c r="Q79" s="1277">
        <f t="shared" ref="Q79:Q142" si="69">P79/G79*100</f>
        <v>24.92644655116051</v>
      </c>
      <c r="R79" s="828">
        <f t="shared" si="15"/>
        <v>-360</v>
      </c>
      <c r="S79" s="2950"/>
      <c r="T79" s="1302"/>
    </row>
    <row r="80" spans="1:20" ht="14.25" customHeight="1" x14ac:dyDescent="0.2">
      <c r="A80" s="2897"/>
      <c r="B80" s="1382" t="s">
        <v>18</v>
      </c>
      <c r="C80" s="2974" t="s">
        <v>141</v>
      </c>
      <c r="D80" s="704">
        <f t="shared" ref="D80:H80" si="70">+D81</f>
        <v>243473</v>
      </c>
      <c r="E80" s="705">
        <f t="shared" si="70"/>
        <v>100275</v>
      </c>
      <c r="F80" s="705">
        <f t="shared" si="70"/>
        <v>69782</v>
      </c>
      <c r="G80" s="705">
        <f t="shared" si="70"/>
        <v>73416</v>
      </c>
      <c r="H80" s="825">
        <f t="shared" si="70"/>
        <v>0</v>
      </c>
      <c r="I80" s="704">
        <f t="shared" ref="I80:N80" si="71">+I81</f>
        <v>243473</v>
      </c>
      <c r="J80" s="705">
        <f t="shared" si="71"/>
        <v>100275</v>
      </c>
      <c r="K80" s="705">
        <f t="shared" si="71"/>
        <v>69782</v>
      </c>
      <c r="L80" s="705">
        <f t="shared" si="71"/>
        <v>73416</v>
      </c>
      <c r="M80" s="825">
        <f t="shared" si="71"/>
        <v>0</v>
      </c>
      <c r="N80" s="847">
        <f t="shared" si="71"/>
        <v>188357</v>
      </c>
      <c r="O80" s="1259">
        <f t="shared" ref="O80:O142" si="72">N80/D80*100</f>
        <v>77.362582298653237</v>
      </c>
      <c r="P80" s="705">
        <f>+P81</f>
        <v>18300</v>
      </c>
      <c r="Q80" s="1259">
        <f t="shared" si="69"/>
        <v>24.92644655116051</v>
      </c>
      <c r="R80" s="705">
        <f t="shared" si="15"/>
        <v>-54</v>
      </c>
      <c r="S80" s="2950"/>
      <c r="T80" s="1302"/>
    </row>
    <row r="81" spans="1:20" ht="14.25" customHeight="1" x14ac:dyDescent="0.2">
      <c r="A81" s="2897"/>
      <c r="B81" s="696" t="s">
        <v>8</v>
      </c>
      <c r="C81" s="2973"/>
      <c r="D81" s="697">
        <f>+E81+F81+G81+H81</f>
        <v>243473</v>
      </c>
      <c r="E81" s="699">
        <f>1297+43240+55738</f>
        <v>100275</v>
      </c>
      <c r="F81" s="699">
        <v>69782</v>
      </c>
      <c r="G81" s="699">
        <v>73416</v>
      </c>
      <c r="H81" s="1358">
        <v>0</v>
      </c>
      <c r="I81" s="697">
        <f>+J81+K81+L81+M81</f>
        <v>243473</v>
      </c>
      <c r="J81" s="699">
        <f>1297+43240+55738</f>
        <v>100275</v>
      </c>
      <c r="K81" s="699">
        <v>69782</v>
      </c>
      <c r="L81" s="699">
        <v>73416</v>
      </c>
      <c r="M81" s="1358">
        <v>0</v>
      </c>
      <c r="N81" s="1348">
        <f>+P81+K81+J81</f>
        <v>188357</v>
      </c>
      <c r="O81" s="1357">
        <f t="shared" si="72"/>
        <v>77.362582298653237</v>
      </c>
      <c r="P81" s="800">
        <v>18300</v>
      </c>
      <c r="Q81" s="1357">
        <f t="shared" si="69"/>
        <v>24.92644655116051</v>
      </c>
      <c r="R81" s="699">
        <f t="shared" ref="R81:R121" si="73">+P81-L81*0.25</f>
        <v>-54</v>
      </c>
      <c r="S81" s="2950"/>
      <c r="T81" s="1302"/>
    </row>
    <row r="82" spans="1:20" ht="14.25" customHeight="1" x14ac:dyDescent="0.2">
      <c r="A82" s="2897"/>
      <c r="B82" s="1383" t="s">
        <v>13</v>
      </c>
      <c r="C82" s="2975"/>
      <c r="D82" s="704">
        <f t="shared" ref="D82:H82" si="74">+D83</f>
        <v>1379683</v>
      </c>
      <c r="E82" s="705">
        <f t="shared" si="74"/>
        <v>568228</v>
      </c>
      <c r="F82" s="705">
        <f t="shared" si="74"/>
        <v>395431</v>
      </c>
      <c r="G82" s="705">
        <f t="shared" si="74"/>
        <v>416024</v>
      </c>
      <c r="H82" s="825">
        <f t="shared" si="74"/>
        <v>0</v>
      </c>
      <c r="I82" s="704">
        <f t="shared" ref="I82:N82" si="75">+I83</f>
        <v>1379683</v>
      </c>
      <c r="J82" s="705">
        <f t="shared" si="75"/>
        <v>568228</v>
      </c>
      <c r="K82" s="705">
        <f t="shared" si="75"/>
        <v>395431</v>
      </c>
      <c r="L82" s="705">
        <f t="shared" si="75"/>
        <v>416024</v>
      </c>
      <c r="M82" s="825">
        <f t="shared" si="75"/>
        <v>0</v>
      </c>
      <c r="N82" s="847">
        <f t="shared" si="75"/>
        <v>1067359</v>
      </c>
      <c r="O82" s="1259">
        <f t="shared" si="72"/>
        <v>77.362626052506272</v>
      </c>
      <c r="P82" s="705">
        <f>+P83</f>
        <v>103700</v>
      </c>
      <c r="Q82" s="1259">
        <f t="shared" si="69"/>
        <v>24.92644655116051</v>
      </c>
      <c r="R82" s="705">
        <f t="shared" si="73"/>
        <v>-306</v>
      </c>
      <c r="S82" s="2950"/>
      <c r="T82" s="1302"/>
    </row>
    <row r="83" spans="1:20" ht="14.25" customHeight="1" thickBot="1" x14ac:dyDescent="0.25">
      <c r="A83" s="2898"/>
      <c r="B83" s="717" t="s">
        <v>15</v>
      </c>
      <c r="C83" s="2976"/>
      <c r="D83" s="718">
        <f>+E83+F83+G83+H83</f>
        <v>1379683</v>
      </c>
      <c r="E83" s="720">
        <f>7350+245028+315850</f>
        <v>568228</v>
      </c>
      <c r="F83" s="720">
        <v>395431</v>
      </c>
      <c r="G83" s="786">
        <v>416024</v>
      </c>
      <c r="H83" s="1384">
        <v>0</v>
      </c>
      <c r="I83" s="718">
        <f>+J83+K83+L83+M83</f>
        <v>1379683</v>
      </c>
      <c r="J83" s="720">
        <f>7350+245028+315850</f>
        <v>568228</v>
      </c>
      <c r="K83" s="720">
        <v>395431</v>
      </c>
      <c r="L83" s="786">
        <v>416024</v>
      </c>
      <c r="M83" s="1384">
        <v>0</v>
      </c>
      <c r="N83" s="1359">
        <f>+P83+K83+J83</f>
        <v>1067359</v>
      </c>
      <c r="O83" s="1360">
        <f t="shared" si="72"/>
        <v>77.362626052506272</v>
      </c>
      <c r="P83" s="720">
        <v>103700</v>
      </c>
      <c r="Q83" s="1360">
        <f t="shared" si="69"/>
        <v>24.92644655116051</v>
      </c>
      <c r="R83" s="786">
        <f t="shared" si="73"/>
        <v>-306</v>
      </c>
      <c r="S83" s="2967"/>
      <c r="T83" s="1302"/>
    </row>
    <row r="84" spans="1:20" ht="27.75" customHeight="1" x14ac:dyDescent="0.2">
      <c r="A84" s="2809" t="s">
        <v>52</v>
      </c>
      <c r="B84" s="746" t="s">
        <v>142</v>
      </c>
      <c r="C84" s="1341" t="s">
        <v>233</v>
      </c>
      <c r="D84" s="680"/>
      <c r="E84" s="678"/>
      <c r="F84" s="678"/>
      <c r="G84" s="678"/>
      <c r="H84" s="679"/>
      <c r="I84" s="680"/>
      <c r="J84" s="678"/>
      <c r="K84" s="678"/>
      <c r="L84" s="678"/>
      <c r="M84" s="679"/>
      <c r="N84" s="1355"/>
      <c r="O84" s="678"/>
      <c r="P84" s="678"/>
      <c r="Q84" s="678"/>
      <c r="R84" s="678"/>
      <c r="S84" s="2966" t="s">
        <v>130</v>
      </c>
      <c r="T84" s="1302"/>
    </row>
    <row r="85" spans="1:20" ht="13.5" customHeight="1" x14ac:dyDescent="0.2">
      <c r="A85" s="2810"/>
      <c r="B85" s="879" t="s">
        <v>3</v>
      </c>
      <c r="C85" s="566"/>
      <c r="D85" s="817">
        <f t="shared" ref="D85:H85" si="76">+D86+D88</f>
        <v>2508381</v>
      </c>
      <c r="E85" s="815">
        <f t="shared" si="76"/>
        <v>1850065</v>
      </c>
      <c r="F85" s="815">
        <f t="shared" si="76"/>
        <v>658316</v>
      </c>
      <c r="G85" s="851">
        <f t="shared" si="76"/>
        <v>0</v>
      </c>
      <c r="H85" s="852">
        <f t="shared" si="76"/>
        <v>0</v>
      </c>
      <c r="I85" s="817">
        <f t="shared" ref="I85:M85" si="77">+I86+I88</f>
        <v>2508379</v>
      </c>
      <c r="J85" s="815">
        <f t="shared" si="77"/>
        <v>1850065</v>
      </c>
      <c r="K85" s="815">
        <f t="shared" si="77"/>
        <v>658314</v>
      </c>
      <c r="L85" s="851">
        <f t="shared" si="77"/>
        <v>0</v>
      </c>
      <c r="M85" s="852">
        <f t="shared" si="77"/>
        <v>0</v>
      </c>
      <c r="N85" s="928">
        <f>+N86+N89</f>
        <v>2508379</v>
      </c>
      <c r="O85" s="1258">
        <f>N85/D85*100</f>
        <v>99.99992026729592</v>
      </c>
      <c r="P85" s="851">
        <f t="shared" ref="P85" si="78">+P86+P88</f>
        <v>0</v>
      </c>
      <c r="Q85" s="851">
        <v>0</v>
      </c>
      <c r="R85" s="851">
        <f t="shared" si="73"/>
        <v>0</v>
      </c>
      <c r="S85" s="2949"/>
      <c r="T85" s="1302"/>
    </row>
    <row r="86" spans="1:20" ht="13.5" customHeight="1" x14ac:dyDescent="0.2">
      <c r="A86" s="2810"/>
      <c r="B86" s="904" t="s">
        <v>18</v>
      </c>
      <c r="C86" s="2771" t="s">
        <v>131</v>
      </c>
      <c r="D86" s="820">
        <f t="shared" ref="D86:M86" si="79">+D87</f>
        <v>376259</v>
      </c>
      <c r="E86" s="821">
        <f t="shared" si="79"/>
        <v>277511</v>
      </c>
      <c r="F86" s="821">
        <f t="shared" si="79"/>
        <v>98748</v>
      </c>
      <c r="G86" s="853">
        <f t="shared" si="79"/>
        <v>0</v>
      </c>
      <c r="H86" s="854">
        <f t="shared" si="79"/>
        <v>0</v>
      </c>
      <c r="I86" s="820">
        <f t="shared" si="79"/>
        <v>376258</v>
      </c>
      <c r="J86" s="821">
        <f t="shared" si="79"/>
        <v>277511</v>
      </c>
      <c r="K86" s="821">
        <f t="shared" si="79"/>
        <v>98747</v>
      </c>
      <c r="L86" s="853">
        <f t="shared" si="79"/>
        <v>0</v>
      </c>
      <c r="M86" s="854">
        <f t="shared" si="79"/>
        <v>0</v>
      </c>
      <c r="N86" s="930">
        <f>+P86+K86+J86</f>
        <v>376258</v>
      </c>
      <c r="O86" s="1259">
        <f t="shared" si="72"/>
        <v>99.999734225626497</v>
      </c>
      <c r="P86" s="853">
        <f t="shared" ref="P86" si="80">+P87</f>
        <v>0</v>
      </c>
      <c r="Q86" s="853">
        <v>0</v>
      </c>
      <c r="R86" s="853">
        <f t="shared" si="73"/>
        <v>0</v>
      </c>
      <c r="S86" s="2949"/>
      <c r="T86" s="1302"/>
    </row>
    <row r="87" spans="1:20" ht="13.5" customHeight="1" x14ac:dyDescent="0.2">
      <c r="A87" s="2810"/>
      <c r="B87" s="696" t="s">
        <v>8</v>
      </c>
      <c r="C87" s="2816"/>
      <c r="D87" s="697">
        <f>+E87+F87+G87+H87</f>
        <v>376259</v>
      </c>
      <c r="E87" s="699">
        <f>42599+139001+95911</f>
        <v>277511</v>
      </c>
      <c r="F87" s="733">
        <v>98748</v>
      </c>
      <c r="G87" s="735">
        <v>0</v>
      </c>
      <c r="H87" s="700">
        <v>0</v>
      </c>
      <c r="I87" s="697">
        <f>+J87+K87+L87+M87</f>
        <v>376258</v>
      </c>
      <c r="J87" s="699">
        <f>42599+139001+95911</f>
        <v>277511</v>
      </c>
      <c r="K87" s="733">
        <v>98747</v>
      </c>
      <c r="L87" s="735">
        <v>0</v>
      </c>
      <c r="M87" s="700">
        <v>0</v>
      </c>
      <c r="N87" s="1385">
        <f>+P87+K87+J87</f>
        <v>376258</v>
      </c>
      <c r="O87" s="1357">
        <f t="shared" si="72"/>
        <v>99.999734225626497</v>
      </c>
      <c r="P87" s="735">
        <v>0</v>
      </c>
      <c r="Q87" s="1336">
        <v>0</v>
      </c>
      <c r="R87" s="735">
        <f t="shared" si="73"/>
        <v>0</v>
      </c>
      <c r="S87" s="2949"/>
      <c r="T87" s="1302"/>
    </row>
    <row r="88" spans="1:20" ht="12.75" customHeight="1" x14ac:dyDescent="0.2">
      <c r="A88" s="2810"/>
      <c r="B88" s="795" t="s">
        <v>13</v>
      </c>
      <c r="C88" s="2816"/>
      <c r="D88" s="704">
        <f t="shared" ref="D88:M88" si="81">+D89</f>
        <v>2132122</v>
      </c>
      <c r="E88" s="705">
        <f t="shared" si="81"/>
        <v>1572554</v>
      </c>
      <c r="F88" s="705">
        <f t="shared" si="81"/>
        <v>559568</v>
      </c>
      <c r="G88" s="706">
        <f t="shared" si="81"/>
        <v>0</v>
      </c>
      <c r="H88" s="707">
        <f t="shared" si="81"/>
        <v>0</v>
      </c>
      <c r="I88" s="704">
        <f t="shared" si="81"/>
        <v>2132121</v>
      </c>
      <c r="J88" s="705">
        <f t="shared" si="81"/>
        <v>1572554</v>
      </c>
      <c r="K88" s="705">
        <f t="shared" si="81"/>
        <v>559567</v>
      </c>
      <c r="L88" s="706">
        <f t="shared" si="81"/>
        <v>0</v>
      </c>
      <c r="M88" s="707">
        <f t="shared" si="81"/>
        <v>0</v>
      </c>
      <c r="N88" s="930">
        <f>+P88+K88+J88</f>
        <v>2132121</v>
      </c>
      <c r="O88" s="1259">
        <f t="shared" si="72"/>
        <v>99.999953098368664</v>
      </c>
      <c r="P88" s="706">
        <f t="shared" ref="P88" si="82">+P89</f>
        <v>0</v>
      </c>
      <c r="Q88" s="853">
        <v>0</v>
      </c>
      <c r="R88" s="706">
        <f t="shared" si="73"/>
        <v>0</v>
      </c>
      <c r="S88" s="2949"/>
      <c r="T88" s="1302"/>
    </row>
    <row r="89" spans="1:20" ht="13.5" customHeight="1" x14ac:dyDescent="0.2">
      <c r="A89" s="2810"/>
      <c r="B89" s="696" t="s">
        <v>15</v>
      </c>
      <c r="C89" s="2816"/>
      <c r="D89" s="697">
        <f>+E89+F89+G89+H89</f>
        <v>2132122</v>
      </c>
      <c r="E89" s="699">
        <f>241392+787671+543491</f>
        <v>1572554</v>
      </c>
      <c r="F89" s="733">
        <v>559568</v>
      </c>
      <c r="G89" s="735">
        <v>0</v>
      </c>
      <c r="H89" s="700">
        <v>0</v>
      </c>
      <c r="I89" s="697">
        <f>+J89+K89+L89+M89</f>
        <v>2132121</v>
      </c>
      <c r="J89" s="699">
        <f>241392+787671+543491</f>
        <v>1572554</v>
      </c>
      <c r="K89" s="733">
        <v>559567</v>
      </c>
      <c r="L89" s="735">
        <v>0</v>
      </c>
      <c r="M89" s="700">
        <v>0</v>
      </c>
      <c r="N89" s="1385">
        <f>+P89+K89+J89</f>
        <v>2132121</v>
      </c>
      <c r="O89" s="1357">
        <f t="shared" si="72"/>
        <v>99.999953098368664</v>
      </c>
      <c r="P89" s="735">
        <v>0</v>
      </c>
      <c r="Q89" s="1336">
        <v>0</v>
      </c>
      <c r="R89" s="735">
        <f t="shared" si="73"/>
        <v>0</v>
      </c>
      <c r="S89" s="2949"/>
      <c r="T89" s="1302"/>
    </row>
    <row r="90" spans="1:20" ht="13.5" customHeight="1" x14ac:dyDescent="0.2">
      <c r="A90" s="2811"/>
      <c r="B90" s="879" t="s">
        <v>17</v>
      </c>
      <c r="C90" s="566"/>
      <c r="D90" s="826">
        <f t="shared" ref="D90:H90" si="83">+D91+D93</f>
        <v>2508381</v>
      </c>
      <c r="E90" s="828">
        <f t="shared" si="83"/>
        <v>1901430</v>
      </c>
      <c r="F90" s="828">
        <f t="shared" si="83"/>
        <v>606951</v>
      </c>
      <c r="G90" s="827">
        <f t="shared" si="83"/>
        <v>0</v>
      </c>
      <c r="H90" s="843">
        <f t="shared" si="83"/>
        <v>0</v>
      </c>
      <c r="I90" s="826">
        <f t="shared" ref="I90:N90" si="84">+I91+I93</f>
        <v>2508381</v>
      </c>
      <c r="J90" s="828">
        <f t="shared" si="84"/>
        <v>1901430</v>
      </c>
      <c r="K90" s="828">
        <f t="shared" si="84"/>
        <v>606951</v>
      </c>
      <c r="L90" s="827">
        <f t="shared" si="84"/>
        <v>0</v>
      </c>
      <c r="M90" s="843">
        <f t="shared" si="84"/>
        <v>0</v>
      </c>
      <c r="N90" s="849">
        <f t="shared" si="84"/>
        <v>2508381</v>
      </c>
      <c r="O90" s="1277">
        <f t="shared" si="72"/>
        <v>100</v>
      </c>
      <c r="P90" s="827">
        <f t="shared" ref="P90" si="85">+P91+P93</f>
        <v>0</v>
      </c>
      <c r="Q90" s="922">
        <v>0</v>
      </c>
      <c r="R90" s="827">
        <f t="shared" si="73"/>
        <v>0</v>
      </c>
      <c r="S90" s="2950"/>
      <c r="T90" s="1302"/>
    </row>
    <row r="91" spans="1:20" ht="13.5" customHeight="1" x14ac:dyDescent="0.2">
      <c r="A91" s="2811"/>
      <c r="B91" s="904" t="s">
        <v>18</v>
      </c>
      <c r="C91" s="2825" t="s">
        <v>143</v>
      </c>
      <c r="D91" s="704">
        <f t="shared" ref="D91:H91" si="86">+D92</f>
        <v>376259</v>
      </c>
      <c r="E91" s="705">
        <f t="shared" si="86"/>
        <v>277511</v>
      </c>
      <c r="F91" s="705">
        <f t="shared" si="86"/>
        <v>98748</v>
      </c>
      <c r="G91" s="706">
        <f t="shared" si="86"/>
        <v>0</v>
      </c>
      <c r="H91" s="707">
        <f t="shared" si="86"/>
        <v>0</v>
      </c>
      <c r="I91" s="704">
        <f t="shared" ref="I91:P91" si="87">+I92</f>
        <v>376259</v>
      </c>
      <c r="J91" s="705">
        <f t="shared" si="87"/>
        <v>277511</v>
      </c>
      <c r="K91" s="705">
        <f t="shared" si="87"/>
        <v>98748</v>
      </c>
      <c r="L91" s="706">
        <f t="shared" si="87"/>
        <v>0</v>
      </c>
      <c r="M91" s="707">
        <f t="shared" si="87"/>
        <v>0</v>
      </c>
      <c r="N91" s="847">
        <f t="shared" si="87"/>
        <v>376259</v>
      </c>
      <c r="O91" s="1259">
        <f t="shared" si="72"/>
        <v>100</v>
      </c>
      <c r="P91" s="706">
        <f t="shared" si="87"/>
        <v>0</v>
      </c>
      <c r="Q91" s="853">
        <v>0</v>
      </c>
      <c r="R91" s="706">
        <f t="shared" si="73"/>
        <v>0</v>
      </c>
      <c r="S91" s="2950"/>
      <c r="T91" s="1302"/>
    </row>
    <row r="92" spans="1:20" ht="13.5" customHeight="1" x14ac:dyDescent="0.2">
      <c r="A92" s="2811"/>
      <c r="B92" s="696" t="s">
        <v>8</v>
      </c>
      <c r="C92" s="2816"/>
      <c r="D92" s="697">
        <f>+E92+F92+G92+H92</f>
        <v>376259</v>
      </c>
      <c r="E92" s="699">
        <f>42599+139001+95911</f>
        <v>277511</v>
      </c>
      <c r="F92" s="733">
        <v>98748</v>
      </c>
      <c r="G92" s="735">
        <v>0</v>
      </c>
      <c r="H92" s="700">
        <v>0</v>
      </c>
      <c r="I92" s="697">
        <f>+J92+K92+L92+M92</f>
        <v>376259</v>
      </c>
      <c r="J92" s="699">
        <f>42599+139001+95911</f>
        <v>277511</v>
      </c>
      <c r="K92" s="733">
        <v>98748</v>
      </c>
      <c r="L92" s="735">
        <v>0</v>
      </c>
      <c r="M92" s="700">
        <v>0</v>
      </c>
      <c r="N92" s="1348">
        <f>+P92+K92+J92</f>
        <v>376259</v>
      </c>
      <c r="O92" s="1357">
        <f t="shared" si="72"/>
        <v>100</v>
      </c>
      <c r="P92" s="735">
        <v>0</v>
      </c>
      <c r="Q92" s="1336">
        <v>0</v>
      </c>
      <c r="R92" s="735">
        <f t="shared" si="73"/>
        <v>0</v>
      </c>
      <c r="S92" s="2950"/>
      <c r="T92" s="1302"/>
    </row>
    <row r="93" spans="1:20" ht="12" customHeight="1" x14ac:dyDescent="0.2">
      <c r="A93" s="2811"/>
      <c r="B93" s="795" t="s">
        <v>13</v>
      </c>
      <c r="C93" s="2826"/>
      <c r="D93" s="704">
        <f t="shared" ref="D93:H93" si="88">+D94</f>
        <v>2132122</v>
      </c>
      <c r="E93" s="705">
        <f t="shared" si="88"/>
        <v>1623919</v>
      </c>
      <c r="F93" s="705">
        <f t="shared" si="88"/>
        <v>508203</v>
      </c>
      <c r="G93" s="706">
        <f t="shared" si="88"/>
        <v>0</v>
      </c>
      <c r="H93" s="707">
        <f t="shared" si="88"/>
        <v>0</v>
      </c>
      <c r="I93" s="704">
        <f t="shared" ref="I93:P93" si="89">+I94</f>
        <v>2132122</v>
      </c>
      <c r="J93" s="705">
        <f t="shared" si="89"/>
        <v>1623919</v>
      </c>
      <c r="K93" s="705">
        <f t="shared" si="89"/>
        <v>508203</v>
      </c>
      <c r="L93" s="706">
        <f t="shared" si="89"/>
        <v>0</v>
      </c>
      <c r="M93" s="707">
        <f t="shared" si="89"/>
        <v>0</v>
      </c>
      <c r="N93" s="847">
        <f t="shared" si="89"/>
        <v>2132122</v>
      </c>
      <c r="O93" s="1259">
        <f t="shared" si="72"/>
        <v>100</v>
      </c>
      <c r="P93" s="706">
        <f t="shared" si="89"/>
        <v>0</v>
      </c>
      <c r="Q93" s="853">
        <v>0</v>
      </c>
      <c r="R93" s="706">
        <f t="shared" si="73"/>
        <v>0</v>
      </c>
      <c r="S93" s="2950"/>
      <c r="T93" s="1302"/>
    </row>
    <row r="94" spans="1:20" ht="13.5" customHeight="1" thickBot="1" x14ac:dyDescent="0.25">
      <c r="A94" s="2812"/>
      <c r="B94" s="717" t="s">
        <v>15</v>
      </c>
      <c r="C94" s="2827"/>
      <c r="D94" s="718">
        <f>+E94+F94+G94+H94</f>
        <v>2132122</v>
      </c>
      <c r="E94" s="699">
        <f>241392+787671+594856</f>
        <v>1623919</v>
      </c>
      <c r="F94" s="733">
        <v>508203</v>
      </c>
      <c r="G94" s="735">
        <v>0</v>
      </c>
      <c r="H94" s="761">
        <v>0</v>
      </c>
      <c r="I94" s="718">
        <f>+J94+K94+L94+M94</f>
        <v>2132122</v>
      </c>
      <c r="J94" s="699">
        <f>241392+787671+594856</f>
        <v>1623919</v>
      </c>
      <c r="K94" s="733">
        <v>508203</v>
      </c>
      <c r="L94" s="735">
        <v>0</v>
      </c>
      <c r="M94" s="761">
        <v>0</v>
      </c>
      <c r="N94" s="1359">
        <f>+P94+K94+J94</f>
        <v>2132122</v>
      </c>
      <c r="O94" s="1386">
        <f t="shared" si="72"/>
        <v>100</v>
      </c>
      <c r="P94" s="735">
        <v>0</v>
      </c>
      <c r="Q94" s="1387">
        <v>0</v>
      </c>
      <c r="R94" s="903">
        <f t="shared" si="73"/>
        <v>0</v>
      </c>
      <c r="S94" s="2967"/>
      <c r="T94" s="1302"/>
    </row>
    <row r="95" spans="1:20" ht="29.25" customHeight="1" x14ac:dyDescent="0.2">
      <c r="A95" s="2809" t="s">
        <v>53</v>
      </c>
      <c r="B95" s="746" t="s">
        <v>145</v>
      </c>
      <c r="C95" s="1341" t="s">
        <v>233</v>
      </c>
      <c r="D95" s="680"/>
      <c r="E95" s="678"/>
      <c r="F95" s="678"/>
      <c r="G95" s="678"/>
      <c r="H95" s="679"/>
      <c r="I95" s="680"/>
      <c r="J95" s="678"/>
      <c r="K95" s="678"/>
      <c r="L95" s="678"/>
      <c r="M95" s="679"/>
      <c r="N95" s="1355"/>
      <c r="O95" s="678"/>
      <c r="P95" s="678"/>
      <c r="Q95" s="678"/>
      <c r="R95" s="678"/>
      <c r="S95" s="2966" t="s">
        <v>130</v>
      </c>
      <c r="T95" s="1302"/>
    </row>
    <row r="96" spans="1:20" ht="13.5" customHeight="1" x14ac:dyDescent="0.2">
      <c r="A96" s="2810"/>
      <c r="B96" s="879" t="s">
        <v>3</v>
      </c>
      <c r="C96" s="566"/>
      <c r="D96" s="817">
        <f t="shared" ref="D96:E96" si="90">+D97+D100</f>
        <v>10877760</v>
      </c>
      <c r="E96" s="815">
        <f t="shared" si="90"/>
        <v>6884473</v>
      </c>
      <c r="F96" s="815">
        <f>+F97+F100</f>
        <v>1709269</v>
      </c>
      <c r="G96" s="815">
        <f t="shared" ref="G96:H96" si="91">+G97+G100</f>
        <v>2284018</v>
      </c>
      <c r="H96" s="816">
        <f t="shared" si="91"/>
        <v>0</v>
      </c>
      <c r="I96" s="817">
        <f t="shared" ref="I96:N96" si="92">+I97+I100</f>
        <v>10877760</v>
      </c>
      <c r="J96" s="815">
        <f t="shared" si="92"/>
        <v>6884473</v>
      </c>
      <c r="K96" s="815">
        <f>+K97+K100</f>
        <v>1709269</v>
      </c>
      <c r="L96" s="815">
        <f t="shared" si="92"/>
        <v>2284018</v>
      </c>
      <c r="M96" s="816">
        <f t="shared" si="92"/>
        <v>0</v>
      </c>
      <c r="N96" s="928">
        <f t="shared" si="92"/>
        <v>9361516</v>
      </c>
      <c r="O96" s="1277">
        <f t="shared" si="72"/>
        <v>86.061064042596996</v>
      </c>
      <c r="P96" s="815">
        <f>+P97+P100</f>
        <v>767774</v>
      </c>
      <c r="Q96" s="1277">
        <f t="shared" si="69"/>
        <v>33.615059075716566</v>
      </c>
      <c r="R96" s="815">
        <f t="shared" si="73"/>
        <v>196769.5</v>
      </c>
      <c r="S96" s="2949"/>
      <c r="T96" s="1302"/>
    </row>
    <row r="97" spans="1:20" ht="13.5" customHeight="1" x14ac:dyDescent="0.2">
      <c r="A97" s="2810"/>
      <c r="B97" s="904" t="s">
        <v>18</v>
      </c>
      <c r="C97" s="2771" t="s">
        <v>144</v>
      </c>
      <c r="D97" s="820">
        <f t="shared" ref="D97:E97" si="93">+D98+D99</f>
        <v>1631666</v>
      </c>
      <c r="E97" s="821">
        <f t="shared" si="93"/>
        <v>1032674</v>
      </c>
      <c r="F97" s="821">
        <f>+F98+F99</f>
        <v>256392</v>
      </c>
      <c r="G97" s="821">
        <f t="shared" ref="G97:H97" si="94">+G98+G99</f>
        <v>342600</v>
      </c>
      <c r="H97" s="822">
        <f t="shared" si="94"/>
        <v>0</v>
      </c>
      <c r="I97" s="820">
        <f t="shared" ref="I97:N97" si="95">+I98+I99</f>
        <v>1631666</v>
      </c>
      <c r="J97" s="821">
        <f t="shared" si="95"/>
        <v>1032674</v>
      </c>
      <c r="K97" s="821">
        <f>+K98+K99</f>
        <v>256392</v>
      </c>
      <c r="L97" s="821">
        <f t="shared" si="95"/>
        <v>342600</v>
      </c>
      <c r="M97" s="822">
        <f t="shared" si="95"/>
        <v>0</v>
      </c>
      <c r="N97" s="930">
        <f t="shared" si="95"/>
        <v>1404232</v>
      </c>
      <c r="O97" s="1259">
        <f t="shared" si="72"/>
        <v>86.061240474459851</v>
      </c>
      <c r="P97" s="821">
        <f>+P98+P99</f>
        <v>115166</v>
      </c>
      <c r="Q97" s="1259">
        <f t="shared" si="69"/>
        <v>33.615294804436665</v>
      </c>
      <c r="R97" s="821">
        <f t="shared" si="73"/>
        <v>29516</v>
      </c>
      <c r="S97" s="2949"/>
      <c r="T97" s="1302"/>
    </row>
    <row r="98" spans="1:20" ht="13.5" customHeight="1" x14ac:dyDescent="0.2">
      <c r="A98" s="2810"/>
      <c r="B98" s="696" t="s">
        <v>5</v>
      </c>
      <c r="C98" s="2816"/>
      <c r="D98" s="697">
        <f>+E98+F98+G98+H98</f>
        <v>815833</v>
      </c>
      <c r="E98" s="699">
        <f>236517+198691+81129</f>
        <v>516337</v>
      </c>
      <c r="F98" s="733">
        <v>128196</v>
      </c>
      <c r="G98" s="733">
        <v>171300</v>
      </c>
      <c r="H98" s="824">
        <v>0</v>
      </c>
      <c r="I98" s="697">
        <f>+J98+K98+L98+M98</f>
        <v>815833</v>
      </c>
      <c r="J98" s="699">
        <f>236517+198691+81129</f>
        <v>516337</v>
      </c>
      <c r="K98" s="733">
        <v>128196</v>
      </c>
      <c r="L98" s="733">
        <v>171300</v>
      </c>
      <c r="M98" s="824">
        <v>0</v>
      </c>
      <c r="N98" s="848">
        <f>P98+J98+K98</f>
        <v>702116</v>
      </c>
      <c r="O98" s="1357">
        <f t="shared" si="72"/>
        <v>86.061240474459851</v>
      </c>
      <c r="P98" s="699">
        <v>57583</v>
      </c>
      <c r="Q98" s="1357">
        <f t="shared" si="69"/>
        <v>33.615294804436665</v>
      </c>
      <c r="R98" s="733">
        <f t="shared" si="73"/>
        <v>14758</v>
      </c>
      <c r="S98" s="2949"/>
      <c r="T98" s="1302"/>
    </row>
    <row r="99" spans="1:20" ht="13.5" customHeight="1" x14ac:dyDescent="0.2">
      <c r="A99" s="2810"/>
      <c r="B99" s="696" t="s">
        <v>8</v>
      </c>
      <c r="C99" s="2816"/>
      <c r="D99" s="697">
        <f>+E99+F99+G99+H99</f>
        <v>815833</v>
      </c>
      <c r="E99" s="699">
        <f>236517+198691+81129</f>
        <v>516337</v>
      </c>
      <c r="F99" s="733">
        <v>128196</v>
      </c>
      <c r="G99" s="733">
        <v>171300</v>
      </c>
      <c r="H99" s="824">
        <v>0</v>
      </c>
      <c r="I99" s="697">
        <f>+J99+K99+L99+M99</f>
        <v>815833</v>
      </c>
      <c r="J99" s="699">
        <f>236517+198691+81129</f>
        <v>516337</v>
      </c>
      <c r="K99" s="733">
        <v>128196</v>
      </c>
      <c r="L99" s="733">
        <v>171300</v>
      </c>
      <c r="M99" s="824">
        <v>0</v>
      </c>
      <c r="N99" s="848">
        <f>P99+J99+K99</f>
        <v>702116</v>
      </c>
      <c r="O99" s="1357">
        <f t="shared" si="72"/>
        <v>86.061240474459851</v>
      </c>
      <c r="P99" s="699">
        <v>57583</v>
      </c>
      <c r="Q99" s="1357">
        <f t="shared" si="69"/>
        <v>33.615294804436665</v>
      </c>
      <c r="R99" s="733">
        <f t="shared" si="73"/>
        <v>14758</v>
      </c>
      <c r="S99" s="2949"/>
      <c r="T99" s="1302"/>
    </row>
    <row r="100" spans="1:20" ht="12.75" customHeight="1" x14ac:dyDescent="0.2">
      <c r="A100" s="2810"/>
      <c r="B100" s="795" t="s">
        <v>13</v>
      </c>
      <c r="C100" s="2816"/>
      <c r="D100" s="704">
        <f t="shared" ref="D100:N100" si="96">+D101</f>
        <v>9246094</v>
      </c>
      <c r="E100" s="705">
        <f t="shared" si="96"/>
        <v>5851799</v>
      </c>
      <c r="F100" s="705">
        <f>+F101</f>
        <v>1452877</v>
      </c>
      <c r="G100" s="705">
        <f t="shared" si="96"/>
        <v>1941418</v>
      </c>
      <c r="H100" s="825">
        <f t="shared" si="96"/>
        <v>0</v>
      </c>
      <c r="I100" s="704">
        <f t="shared" si="96"/>
        <v>9246094</v>
      </c>
      <c r="J100" s="705">
        <f t="shared" si="96"/>
        <v>5851799</v>
      </c>
      <c r="K100" s="705">
        <f>+K101</f>
        <v>1452877</v>
      </c>
      <c r="L100" s="705">
        <f t="shared" si="96"/>
        <v>1941418</v>
      </c>
      <c r="M100" s="825">
        <f t="shared" si="96"/>
        <v>0</v>
      </c>
      <c r="N100" s="847">
        <f t="shared" si="96"/>
        <v>7957284</v>
      </c>
      <c r="O100" s="1259">
        <f t="shared" si="72"/>
        <v>86.061032907517486</v>
      </c>
      <c r="P100" s="705">
        <f>+P101</f>
        <v>652608</v>
      </c>
      <c r="Q100" s="1259">
        <f t="shared" si="69"/>
        <v>33.615017476916357</v>
      </c>
      <c r="R100" s="705">
        <f t="shared" si="73"/>
        <v>167253.5</v>
      </c>
      <c r="S100" s="2949"/>
      <c r="T100" s="1302"/>
    </row>
    <row r="101" spans="1:20" ht="13.5" customHeight="1" x14ac:dyDescent="0.2">
      <c r="A101" s="2810"/>
      <c r="B101" s="696" t="s">
        <v>15</v>
      </c>
      <c r="C101" s="2816"/>
      <c r="D101" s="697">
        <f>+E101+F101+G101+H101</f>
        <v>9246094</v>
      </c>
      <c r="E101" s="699">
        <f>2680513+2251831+919455</f>
        <v>5851799</v>
      </c>
      <c r="F101" s="733">
        <v>1452877</v>
      </c>
      <c r="G101" s="733">
        <v>1941418</v>
      </c>
      <c r="H101" s="824">
        <v>0</v>
      </c>
      <c r="I101" s="697">
        <f>+J101+K101+L101+M101</f>
        <v>9246094</v>
      </c>
      <c r="J101" s="699">
        <f>2680513+2251831+919455</f>
        <v>5851799</v>
      </c>
      <c r="K101" s="733">
        <v>1452877</v>
      </c>
      <c r="L101" s="733">
        <v>1941418</v>
      </c>
      <c r="M101" s="824">
        <v>0</v>
      </c>
      <c r="N101" s="848">
        <f>P101+J101+K101</f>
        <v>7957284</v>
      </c>
      <c r="O101" s="1357">
        <f t="shared" si="72"/>
        <v>86.061032907517486</v>
      </c>
      <c r="P101" s="699">
        <v>652608</v>
      </c>
      <c r="Q101" s="1357">
        <f t="shared" si="69"/>
        <v>33.615017476916357</v>
      </c>
      <c r="R101" s="733">
        <f t="shared" si="73"/>
        <v>167253.5</v>
      </c>
      <c r="S101" s="2949"/>
      <c r="T101" s="1302"/>
    </row>
    <row r="102" spans="1:20" ht="13.5" customHeight="1" x14ac:dyDescent="0.2">
      <c r="A102" s="2811"/>
      <c r="B102" s="879" t="s">
        <v>17</v>
      </c>
      <c r="C102" s="566"/>
      <c r="D102" s="826">
        <f t="shared" ref="D102:H102" si="97">+D103+D105</f>
        <v>10061927</v>
      </c>
      <c r="E102" s="828">
        <f t="shared" si="97"/>
        <v>6429462</v>
      </c>
      <c r="F102" s="828">
        <f t="shared" si="97"/>
        <v>1940864</v>
      </c>
      <c r="G102" s="828">
        <f t="shared" si="97"/>
        <v>1691601</v>
      </c>
      <c r="H102" s="875">
        <f t="shared" si="97"/>
        <v>0</v>
      </c>
      <c r="I102" s="826">
        <f t="shared" ref="I102:N102" si="98">+I103+I105</f>
        <v>10061927</v>
      </c>
      <c r="J102" s="828">
        <f t="shared" si="98"/>
        <v>6429462</v>
      </c>
      <c r="K102" s="828">
        <f t="shared" si="98"/>
        <v>1940864</v>
      </c>
      <c r="L102" s="828">
        <f t="shared" si="98"/>
        <v>1691601</v>
      </c>
      <c r="M102" s="875">
        <f t="shared" si="98"/>
        <v>0</v>
      </c>
      <c r="N102" s="849">
        <f t="shared" si="98"/>
        <v>9056639</v>
      </c>
      <c r="O102" s="1277">
        <f t="shared" si="72"/>
        <v>90.008991319456001</v>
      </c>
      <c r="P102" s="828">
        <f>+P103+P105</f>
        <v>686313</v>
      </c>
      <c r="Q102" s="1277">
        <f t="shared" si="69"/>
        <v>40.571801506383601</v>
      </c>
      <c r="R102" s="828">
        <f t="shared" si="73"/>
        <v>263412.75</v>
      </c>
      <c r="S102" s="2950"/>
      <c r="T102" s="1302"/>
    </row>
    <row r="103" spans="1:20" ht="13.5" customHeight="1" x14ac:dyDescent="0.2">
      <c r="A103" s="2811"/>
      <c r="B103" s="904" t="s">
        <v>18</v>
      </c>
      <c r="C103" s="2825" t="s">
        <v>135</v>
      </c>
      <c r="D103" s="704">
        <f t="shared" ref="D103:H103" si="99">+D104</f>
        <v>815833</v>
      </c>
      <c r="E103" s="705">
        <f t="shared" si="99"/>
        <v>516337</v>
      </c>
      <c r="F103" s="705">
        <f t="shared" si="99"/>
        <v>128196</v>
      </c>
      <c r="G103" s="705">
        <f t="shared" si="99"/>
        <v>171300</v>
      </c>
      <c r="H103" s="825">
        <f t="shared" si="99"/>
        <v>0</v>
      </c>
      <c r="I103" s="704">
        <f t="shared" ref="I103:N103" si="100">+I104</f>
        <v>815833</v>
      </c>
      <c r="J103" s="705">
        <f t="shared" si="100"/>
        <v>516337</v>
      </c>
      <c r="K103" s="705">
        <f t="shared" si="100"/>
        <v>128196</v>
      </c>
      <c r="L103" s="705">
        <f t="shared" si="100"/>
        <v>171300</v>
      </c>
      <c r="M103" s="825">
        <f t="shared" si="100"/>
        <v>0</v>
      </c>
      <c r="N103" s="847">
        <f t="shared" si="100"/>
        <v>734324</v>
      </c>
      <c r="O103" s="1259">
        <f t="shared" si="72"/>
        <v>90.009107256019306</v>
      </c>
      <c r="P103" s="705">
        <f>+P104</f>
        <v>89791</v>
      </c>
      <c r="Q103" s="1259">
        <f t="shared" si="69"/>
        <v>52.417396380618797</v>
      </c>
      <c r="R103" s="705">
        <f t="shared" si="73"/>
        <v>46966</v>
      </c>
      <c r="S103" s="2950"/>
      <c r="T103" s="1302"/>
    </row>
    <row r="104" spans="1:20" ht="13.5" customHeight="1" x14ac:dyDescent="0.2">
      <c r="A104" s="2811"/>
      <c r="B104" s="696" t="s">
        <v>8</v>
      </c>
      <c r="C104" s="2816"/>
      <c r="D104" s="697">
        <f>+E104+F104+G104+H104</f>
        <v>815833</v>
      </c>
      <c r="E104" s="699">
        <f>236517+198691+81129</f>
        <v>516337</v>
      </c>
      <c r="F104" s="733">
        <v>128196</v>
      </c>
      <c r="G104" s="733">
        <v>171300</v>
      </c>
      <c r="H104" s="824">
        <v>0</v>
      </c>
      <c r="I104" s="697">
        <f>+J104+K104+L104+M104</f>
        <v>815833</v>
      </c>
      <c r="J104" s="699">
        <f>236517+198691+81129</f>
        <v>516337</v>
      </c>
      <c r="K104" s="733">
        <v>128196</v>
      </c>
      <c r="L104" s="733">
        <v>171300</v>
      </c>
      <c r="M104" s="824">
        <v>0</v>
      </c>
      <c r="N104" s="1348">
        <f>P104+J104+K104</f>
        <v>734324</v>
      </c>
      <c r="O104" s="1357">
        <f t="shared" si="72"/>
        <v>90.009107256019306</v>
      </c>
      <c r="P104" s="800">
        <v>89791</v>
      </c>
      <c r="Q104" s="1357">
        <f t="shared" si="69"/>
        <v>52.417396380618797</v>
      </c>
      <c r="R104" s="733">
        <f t="shared" si="73"/>
        <v>46966</v>
      </c>
      <c r="S104" s="2950"/>
      <c r="T104" s="1302"/>
    </row>
    <row r="105" spans="1:20" ht="12" customHeight="1" x14ac:dyDescent="0.2">
      <c r="A105" s="2811"/>
      <c r="B105" s="795" t="s">
        <v>13</v>
      </c>
      <c r="C105" s="2826"/>
      <c r="D105" s="704">
        <f t="shared" ref="D105:H105" si="101">+D106</f>
        <v>9246094</v>
      </c>
      <c r="E105" s="705">
        <f t="shared" si="101"/>
        <v>5913125</v>
      </c>
      <c r="F105" s="705">
        <f t="shared" si="101"/>
        <v>1812668</v>
      </c>
      <c r="G105" s="705">
        <f t="shared" si="101"/>
        <v>1520301</v>
      </c>
      <c r="H105" s="825">
        <f t="shared" si="101"/>
        <v>0</v>
      </c>
      <c r="I105" s="704">
        <f t="shared" ref="I105:N105" si="102">+I106</f>
        <v>9246094</v>
      </c>
      <c r="J105" s="705">
        <f t="shared" si="102"/>
        <v>5913125</v>
      </c>
      <c r="K105" s="705">
        <f t="shared" si="102"/>
        <v>1812668</v>
      </c>
      <c r="L105" s="705">
        <f t="shared" si="102"/>
        <v>1520301</v>
      </c>
      <c r="M105" s="825">
        <f t="shared" si="102"/>
        <v>0</v>
      </c>
      <c r="N105" s="847">
        <f t="shared" si="102"/>
        <v>8322315</v>
      </c>
      <c r="O105" s="1259">
        <f t="shared" si="72"/>
        <v>90.008981089744495</v>
      </c>
      <c r="P105" s="705">
        <f>+P106</f>
        <v>596522</v>
      </c>
      <c r="Q105" s="1259">
        <f t="shared" si="69"/>
        <v>39.237098443005699</v>
      </c>
      <c r="R105" s="705">
        <f t="shared" si="73"/>
        <v>216446.75</v>
      </c>
      <c r="S105" s="2950"/>
      <c r="T105" s="1302"/>
    </row>
    <row r="106" spans="1:20" ht="13.5" customHeight="1" thickBot="1" x14ac:dyDescent="0.25">
      <c r="A106" s="2812"/>
      <c r="B106" s="717" t="s">
        <v>15</v>
      </c>
      <c r="C106" s="2827"/>
      <c r="D106" s="718">
        <f>+E106+F106+G106+H106</f>
        <v>9246094</v>
      </c>
      <c r="E106" s="699">
        <f>2680513+2251831+980781</f>
        <v>5913125</v>
      </c>
      <c r="F106" s="733">
        <v>1812668</v>
      </c>
      <c r="G106" s="733">
        <v>1520301</v>
      </c>
      <c r="H106" s="824">
        <v>0</v>
      </c>
      <c r="I106" s="718">
        <f>+J106+K106+L106+M106</f>
        <v>9246094</v>
      </c>
      <c r="J106" s="699">
        <f>2680513+2251831+980781</f>
        <v>5913125</v>
      </c>
      <c r="K106" s="733">
        <v>1812668</v>
      </c>
      <c r="L106" s="733">
        <v>1520301</v>
      </c>
      <c r="M106" s="824">
        <v>0</v>
      </c>
      <c r="N106" s="1359">
        <f>P106+J106+K106</f>
        <v>8322315</v>
      </c>
      <c r="O106" s="1360">
        <f t="shared" si="72"/>
        <v>90.008981089744495</v>
      </c>
      <c r="P106" s="720">
        <v>596522</v>
      </c>
      <c r="Q106" s="1360">
        <f t="shared" si="69"/>
        <v>39.237098443005699</v>
      </c>
      <c r="R106" s="733">
        <f t="shared" si="73"/>
        <v>216446.75</v>
      </c>
      <c r="S106" s="2967"/>
      <c r="T106" s="1302"/>
    </row>
    <row r="107" spans="1:20" ht="26.25" customHeight="1" x14ac:dyDescent="0.2">
      <c r="A107" s="2809" t="s">
        <v>54</v>
      </c>
      <c r="B107" s="746" t="s">
        <v>146</v>
      </c>
      <c r="C107" s="1341" t="s">
        <v>233</v>
      </c>
      <c r="D107" s="680"/>
      <c r="E107" s="678"/>
      <c r="F107" s="678"/>
      <c r="G107" s="678"/>
      <c r="H107" s="679"/>
      <c r="I107" s="680"/>
      <c r="J107" s="678"/>
      <c r="K107" s="678"/>
      <c r="L107" s="678"/>
      <c r="M107" s="679"/>
      <c r="N107" s="1355"/>
      <c r="O107" s="678"/>
      <c r="P107" s="678"/>
      <c r="Q107" s="678"/>
      <c r="R107" s="678"/>
      <c r="S107" s="2966" t="s">
        <v>130</v>
      </c>
      <c r="T107" s="1302"/>
    </row>
    <row r="108" spans="1:20" ht="13.5" customHeight="1" x14ac:dyDescent="0.2">
      <c r="A108" s="2810"/>
      <c r="B108" s="879" t="s">
        <v>3</v>
      </c>
      <c r="C108" s="566"/>
      <c r="D108" s="817">
        <f t="shared" ref="D108:H108" si="103">+D109+D112</f>
        <v>4914650</v>
      </c>
      <c r="E108" s="815">
        <f t="shared" si="103"/>
        <v>2761307</v>
      </c>
      <c r="F108" s="815">
        <f t="shared" si="103"/>
        <v>1217110</v>
      </c>
      <c r="G108" s="815">
        <f t="shared" si="103"/>
        <v>936233</v>
      </c>
      <c r="H108" s="816">
        <f t="shared" si="103"/>
        <v>0</v>
      </c>
      <c r="I108" s="817">
        <f t="shared" ref="I108:N108" si="104">+I109+I112</f>
        <v>4914649</v>
      </c>
      <c r="J108" s="815">
        <f t="shared" si="104"/>
        <v>2761307</v>
      </c>
      <c r="K108" s="815">
        <f t="shared" si="104"/>
        <v>1217109</v>
      </c>
      <c r="L108" s="815">
        <f t="shared" si="104"/>
        <v>936233</v>
      </c>
      <c r="M108" s="816">
        <f t="shared" si="104"/>
        <v>0</v>
      </c>
      <c r="N108" s="928">
        <f t="shared" si="104"/>
        <v>4344526</v>
      </c>
      <c r="O108" s="1277">
        <f t="shared" si="72"/>
        <v>88.399499455708948</v>
      </c>
      <c r="P108" s="815">
        <f>+P109+P112</f>
        <v>366110</v>
      </c>
      <c r="Q108" s="1277">
        <f t="shared" si="69"/>
        <v>39.104581872247614</v>
      </c>
      <c r="R108" s="815">
        <f t="shared" si="73"/>
        <v>132051.75</v>
      </c>
      <c r="S108" s="2949"/>
      <c r="T108" s="1302"/>
    </row>
    <row r="109" spans="1:20" ht="13.5" customHeight="1" x14ac:dyDescent="0.2">
      <c r="A109" s="2810"/>
      <c r="B109" s="904" t="s">
        <v>18</v>
      </c>
      <c r="C109" s="2771" t="s">
        <v>131</v>
      </c>
      <c r="D109" s="820">
        <f t="shared" ref="D109:H109" si="105">+D110+D111</f>
        <v>737202</v>
      </c>
      <c r="E109" s="821">
        <f t="shared" si="105"/>
        <v>414199</v>
      </c>
      <c r="F109" s="821">
        <f t="shared" si="105"/>
        <v>182567</v>
      </c>
      <c r="G109" s="821">
        <f t="shared" si="105"/>
        <v>140436</v>
      </c>
      <c r="H109" s="822">
        <f t="shared" si="105"/>
        <v>0</v>
      </c>
      <c r="I109" s="820">
        <f t="shared" ref="I109:N109" si="106">+I110+I111</f>
        <v>737201</v>
      </c>
      <c r="J109" s="821">
        <f t="shared" si="106"/>
        <v>414199</v>
      </c>
      <c r="K109" s="821">
        <f t="shared" si="106"/>
        <v>182566</v>
      </c>
      <c r="L109" s="821">
        <f t="shared" si="106"/>
        <v>140436</v>
      </c>
      <c r="M109" s="822">
        <f t="shared" si="106"/>
        <v>0</v>
      </c>
      <c r="N109" s="930">
        <f t="shared" si="106"/>
        <v>651682</v>
      </c>
      <c r="O109" s="1259">
        <f t="shared" si="72"/>
        <v>88.399380359792829</v>
      </c>
      <c r="P109" s="821">
        <f>+P110+P111</f>
        <v>54917</v>
      </c>
      <c r="Q109" s="1259">
        <f t="shared" si="69"/>
        <v>39.104645532484547</v>
      </c>
      <c r="R109" s="821">
        <f t="shared" si="73"/>
        <v>19808</v>
      </c>
      <c r="S109" s="2949"/>
      <c r="T109" s="1302"/>
    </row>
    <row r="110" spans="1:20" ht="11.25" customHeight="1" x14ac:dyDescent="0.2">
      <c r="A110" s="2810"/>
      <c r="B110" s="696" t="s">
        <v>5</v>
      </c>
      <c r="C110" s="2816"/>
      <c r="D110" s="697">
        <f>+E110+F110+G110+H110</f>
        <v>73722</v>
      </c>
      <c r="E110" s="699">
        <f>4370+18806+18245</f>
        <v>41421</v>
      </c>
      <c r="F110" s="733">
        <v>18257</v>
      </c>
      <c r="G110" s="733">
        <v>14044</v>
      </c>
      <c r="H110" s="874">
        <v>0</v>
      </c>
      <c r="I110" s="697">
        <f>+J110+K110+L110+M110</f>
        <v>73721</v>
      </c>
      <c r="J110" s="699">
        <f>4370+18806+18245</f>
        <v>41421</v>
      </c>
      <c r="K110" s="733">
        <v>18256</v>
      </c>
      <c r="L110" s="733">
        <v>14044</v>
      </c>
      <c r="M110" s="874">
        <v>0</v>
      </c>
      <c r="N110" s="848">
        <f>P110+J110+K110</f>
        <v>65169</v>
      </c>
      <c r="O110" s="1357">
        <f t="shared" si="72"/>
        <v>88.398307153902493</v>
      </c>
      <c r="P110" s="699">
        <v>5492</v>
      </c>
      <c r="Q110" s="1357">
        <f t="shared" si="69"/>
        <v>39.105667900882942</v>
      </c>
      <c r="R110" s="733">
        <f t="shared" si="73"/>
        <v>1981</v>
      </c>
      <c r="S110" s="2949"/>
      <c r="T110" s="1302"/>
    </row>
    <row r="111" spans="1:20" x14ac:dyDescent="0.2">
      <c r="A111" s="2810"/>
      <c r="B111" s="696" t="s">
        <v>8</v>
      </c>
      <c r="C111" s="2816"/>
      <c r="D111" s="697">
        <f>+E111+F111+G111+H111</f>
        <v>663480</v>
      </c>
      <c r="E111" s="699">
        <f>39327+169256+164195</f>
        <v>372778</v>
      </c>
      <c r="F111" s="733">
        <v>164310</v>
      </c>
      <c r="G111" s="733">
        <v>126392</v>
      </c>
      <c r="H111" s="824">
        <v>0</v>
      </c>
      <c r="I111" s="697">
        <f>+J111+K111+L111+M111</f>
        <v>663480</v>
      </c>
      <c r="J111" s="699">
        <f>39327+169256+164195</f>
        <v>372778</v>
      </c>
      <c r="K111" s="733">
        <v>164310</v>
      </c>
      <c r="L111" s="733">
        <v>126392</v>
      </c>
      <c r="M111" s="824">
        <v>0</v>
      </c>
      <c r="N111" s="848">
        <f>P111+J111+K111</f>
        <v>586513</v>
      </c>
      <c r="O111" s="1357">
        <f t="shared" si="72"/>
        <v>88.399499608126845</v>
      </c>
      <c r="P111" s="699">
        <v>49425</v>
      </c>
      <c r="Q111" s="1357">
        <f t="shared" si="69"/>
        <v>39.104531932400782</v>
      </c>
      <c r="R111" s="733">
        <f t="shared" si="73"/>
        <v>17827</v>
      </c>
      <c r="S111" s="2949"/>
      <c r="T111" s="1302"/>
    </row>
    <row r="112" spans="1:20" ht="12.75" customHeight="1" x14ac:dyDescent="0.2">
      <c r="A112" s="2810"/>
      <c r="B112" s="795" t="s">
        <v>13</v>
      </c>
      <c r="C112" s="2816"/>
      <c r="D112" s="704">
        <f t="shared" ref="D112:N112" si="107">+D113</f>
        <v>4177448</v>
      </c>
      <c r="E112" s="705">
        <f t="shared" si="107"/>
        <v>2347108</v>
      </c>
      <c r="F112" s="705">
        <f t="shared" si="107"/>
        <v>1034543</v>
      </c>
      <c r="G112" s="705">
        <f t="shared" si="107"/>
        <v>795797</v>
      </c>
      <c r="H112" s="825">
        <f t="shared" si="107"/>
        <v>0</v>
      </c>
      <c r="I112" s="704">
        <f t="shared" si="107"/>
        <v>4177448</v>
      </c>
      <c r="J112" s="705">
        <f t="shared" si="107"/>
        <v>2347108</v>
      </c>
      <c r="K112" s="705">
        <f t="shared" si="107"/>
        <v>1034543</v>
      </c>
      <c r="L112" s="705">
        <f t="shared" si="107"/>
        <v>795797</v>
      </c>
      <c r="M112" s="825">
        <f t="shared" si="107"/>
        <v>0</v>
      </c>
      <c r="N112" s="847">
        <f t="shared" si="107"/>
        <v>3692844</v>
      </c>
      <c r="O112" s="1259">
        <f t="shared" si="72"/>
        <v>88.39952047278625</v>
      </c>
      <c r="P112" s="705">
        <f>+P113</f>
        <v>311193</v>
      </c>
      <c r="Q112" s="1259">
        <f t="shared" si="69"/>
        <v>39.10457063798934</v>
      </c>
      <c r="R112" s="705">
        <f t="shared" si="73"/>
        <v>112243.75</v>
      </c>
      <c r="S112" s="2949"/>
      <c r="T112" s="1302"/>
    </row>
    <row r="113" spans="1:30" x14ac:dyDescent="0.2">
      <c r="A113" s="2810"/>
      <c r="B113" s="696" t="s">
        <v>15</v>
      </c>
      <c r="C113" s="2816"/>
      <c r="D113" s="697">
        <f>+E113+F113+G113+H113</f>
        <v>4177448</v>
      </c>
      <c r="E113" s="699">
        <f>247610+1065685+1033813</f>
        <v>2347108</v>
      </c>
      <c r="F113" s="733">
        <v>1034543</v>
      </c>
      <c r="G113" s="733">
        <v>795797</v>
      </c>
      <c r="H113" s="824">
        <v>0</v>
      </c>
      <c r="I113" s="697">
        <f>+J113+K113+L113+M113</f>
        <v>4177448</v>
      </c>
      <c r="J113" s="699">
        <f>247610+1065685+1033813</f>
        <v>2347108</v>
      </c>
      <c r="K113" s="733">
        <v>1034543</v>
      </c>
      <c r="L113" s="733">
        <v>795797</v>
      </c>
      <c r="M113" s="824">
        <v>0</v>
      </c>
      <c r="N113" s="848">
        <f>P113+J113+K113</f>
        <v>3692844</v>
      </c>
      <c r="O113" s="1357">
        <f t="shared" si="72"/>
        <v>88.39952047278625</v>
      </c>
      <c r="P113" s="699">
        <v>311193</v>
      </c>
      <c r="Q113" s="1357">
        <f t="shared" si="69"/>
        <v>39.10457063798934</v>
      </c>
      <c r="R113" s="733">
        <f t="shared" si="73"/>
        <v>112243.75</v>
      </c>
      <c r="S113" s="2949"/>
      <c r="T113" s="1302"/>
    </row>
    <row r="114" spans="1:30" ht="13.5" customHeight="1" x14ac:dyDescent="0.2">
      <c r="A114" s="2811"/>
      <c r="B114" s="879" t="s">
        <v>17</v>
      </c>
      <c r="C114" s="566"/>
      <c r="D114" s="826">
        <f t="shared" ref="D114:H114" si="108">+D115+D117</f>
        <v>4840928</v>
      </c>
      <c r="E114" s="828">
        <f t="shared" si="108"/>
        <v>2725567</v>
      </c>
      <c r="F114" s="828">
        <f t="shared" si="108"/>
        <v>1231632</v>
      </c>
      <c r="G114" s="828">
        <f t="shared" si="108"/>
        <v>883729</v>
      </c>
      <c r="H114" s="875">
        <f t="shared" si="108"/>
        <v>0</v>
      </c>
      <c r="I114" s="826">
        <f t="shared" ref="I114:N114" si="109">+I115+I117</f>
        <v>4840928</v>
      </c>
      <c r="J114" s="828">
        <f t="shared" si="109"/>
        <v>2725567</v>
      </c>
      <c r="K114" s="828">
        <f t="shared" si="109"/>
        <v>1231632</v>
      </c>
      <c r="L114" s="828">
        <f t="shared" si="109"/>
        <v>883729</v>
      </c>
      <c r="M114" s="875">
        <f t="shared" si="109"/>
        <v>0</v>
      </c>
      <c r="N114" s="849">
        <f t="shared" si="109"/>
        <v>4433308</v>
      </c>
      <c r="O114" s="1277">
        <f t="shared" si="72"/>
        <v>91.57971364168192</v>
      </c>
      <c r="P114" s="828">
        <f>+P115+P117</f>
        <v>476109</v>
      </c>
      <c r="Q114" s="1277">
        <f t="shared" si="69"/>
        <v>53.875000141446073</v>
      </c>
      <c r="R114" s="828">
        <f t="shared" si="73"/>
        <v>255176.75</v>
      </c>
      <c r="S114" s="2950"/>
      <c r="T114" s="1302"/>
    </row>
    <row r="115" spans="1:30" ht="11.25" customHeight="1" x14ac:dyDescent="0.2">
      <c r="A115" s="2811"/>
      <c r="B115" s="904" t="s">
        <v>18</v>
      </c>
      <c r="C115" s="2825" t="s">
        <v>143</v>
      </c>
      <c r="D115" s="704">
        <f t="shared" ref="D115:H115" si="110">+D116</f>
        <v>663480</v>
      </c>
      <c r="E115" s="705">
        <f>+E116</f>
        <v>372778</v>
      </c>
      <c r="F115" s="705">
        <f t="shared" si="110"/>
        <v>164310</v>
      </c>
      <c r="G115" s="705">
        <f t="shared" si="110"/>
        <v>126392</v>
      </c>
      <c r="H115" s="825">
        <f t="shared" si="110"/>
        <v>0</v>
      </c>
      <c r="I115" s="704">
        <f t="shared" ref="I115:N115" si="111">+I116</f>
        <v>663480</v>
      </c>
      <c r="J115" s="705">
        <f>+J116</f>
        <v>372778</v>
      </c>
      <c r="K115" s="705">
        <f t="shared" si="111"/>
        <v>164310</v>
      </c>
      <c r="L115" s="705">
        <f t="shared" si="111"/>
        <v>126392</v>
      </c>
      <c r="M115" s="825">
        <f t="shared" si="111"/>
        <v>0</v>
      </c>
      <c r="N115" s="847">
        <f t="shared" si="111"/>
        <v>607613</v>
      </c>
      <c r="O115" s="1259">
        <f t="shared" si="72"/>
        <v>91.579700970639649</v>
      </c>
      <c r="P115" s="705">
        <f>+P116</f>
        <v>70525</v>
      </c>
      <c r="Q115" s="1259">
        <f t="shared" si="69"/>
        <v>55.798626495347804</v>
      </c>
      <c r="R115" s="705">
        <f t="shared" si="73"/>
        <v>38927</v>
      </c>
      <c r="S115" s="2950"/>
      <c r="T115" s="1302"/>
    </row>
    <row r="116" spans="1:30" ht="11.25" customHeight="1" x14ac:dyDescent="0.2">
      <c r="A116" s="2811"/>
      <c r="B116" s="696" t="s">
        <v>8</v>
      </c>
      <c r="C116" s="2816"/>
      <c r="D116" s="697">
        <f>+E116+F116+G116+H116</f>
        <v>663480</v>
      </c>
      <c r="E116" s="699">
        <f>39327+169256+164195</f>
        <v>372778</v>
      </c>
      <c r="F116" s="800">
        <v>164310</v>
      </c>
      <c r="G116" s="800">
        <v>126392</v>
      </c>
      <c r="H116" s="1356">
        <v>0</v>
      </c>
      <c r="I116" s="697">
        <f>+J116+K116+L116+M116</f>
        <v>663480</v>
      </c>
      <c r="J116" s="699">
        <f>39327+169256+164195</f>
        <v>372778</v>
      </c>
      <c r="K116" s="800">
        <v>164310</v>
      </c>
      <c r="L116" s="800">
        <v>126392</v>
      </c>
      <c r="M116" s="1356">
        <v>0</v>
      </c>
      <c r="N116" s="1348">
        <f>P116+J116+K116</f>
        <v>607613</v>
      </c>
      <c r="O116" s="1357">
        <f t="shared" si="72"/>
        <v>91.579700970639649</v>
      </c>
      <c r="P116" s="800">
        <v>70525</v>
      </c>
      <c r="Q116" s="1357">
        <f t="shared" si="69"/>
        <v>55.798626495347804</v>
      </c>
      <c r="R116" s="800">
        <f t="shared" si="73"/>
        <v>38927</v>
      </c>
      <c r="S116" s="2950"/>
      <c r="T116" s="1302"/>
    </row>
    <row r="117" spans="1:30" ht="12" customHeight="1" x14ac:dyDescent="0.2">
      <c r="A117" s="2811"/>
      <c r="B117" s="795" t="s">
        <v>13</v>
      </c>
      <c r="C117" s="2826"/>
      <c r="D117" s="704">
        <f t="shared" ref="D117:H117" si="112">+D118</f>
        <v>4177448</v>
      </c>
      <c r="E117" s="705">
        <f t="shared" si="112"/>
        <v>2352789</v>
      </c>
      <c r="F117" s="705">
        <f t="shared" si="112"/>
        <v>1067322</v>
      </c>
      <c r="G117" s="705">
        <f t="shared" si="112"/>
        <v>757337</v>
      </c>
      <c r="H117" s="825">
        <f t="shared" si="112"/>
        <v>0</v>
      </c>
      <c r="I117" s="704">
        <f t="shared" ref="I117:N117" si="113">+I118</f>
        <v>4177448</v>
      </c>
      <c r="J117" s="705">
        <f t="shared" si="113"/>
        <v>2352789</v>
      </c>
      <c r="K117" s="705">
        <f t="shared" si="113"/>
        <v>1067322</v>
      </c>
      <c r="L117" s="705">
        <f t="shared" si="113"/>
        <v>757337</v>
      </c>
      <c r="M117" s="825">
        <f t="shared" si="113"/>
        <v>0</v>
      </c>
      <c r="N117" s="847">
        <f t="shared" si="113"/>
        <v>3825695</v>
      </c>
      <c r="O117" s="1259">
        <f t="shared" si="72"/>
        <v>91.579715654150576</v>
      </c>
      <c r="P117" s="705">
        <f>+P118</f>
        <v>405584</v>
      </c>
      <c r="Q117" s="1259">
        <f t="shared" si="69"/>
        <v>53.553966067945971</v>
      </c>
      <c r="R117" s="705">
        <f t="shared" si="73"/>
        <v>216249.75</v>
      </c>
      <c r="S117" s="2950"/>
      <c r="T117" s="1302"/>
    </row>
    <row r="118" spans="1:30" ht="11.25" customHeight="1" thickBot="1" x14ac:dyDescent="0.25">
      <c r="A118" s="2812"/>
      <c r="B118" s="717" t="s">
        <v>15</v>
      </c>
      <c r="C118" s="2827"/>
      <c r="D118" s="718">
        <f>+E118+F118+G118+H118</f>
        <v>4177448</v>
      </c>
      <c r="E118" s="720">
        <f>247610+1084861+1020318</f>
        <v>2352789</v>
      </c>
      <c r="F118" s="720">
        <v>1067322</v>
      </c>
      <c r="G118" s="720">
        <v>757337</v>
      </c>
      <c r="H118" s="1116">
        <v>0</v>
      </c>
      <c r="I118" s="718">
        <f>+J118+K118+L118+M118</f>
        <v>4177448</v>
      </c>
      <c r="J118" s="720">
        <f>247610+1084861+1020318</f>
        <v>2352789</v>
      </c>
      <c r="K118" s="720">
        <v>1067322</v>
      </c>
      <c r="L118" s="720">
        <v>757337</v>
      </c>
      <c r="M118" s="1116">
        <v>0</v>
      </c>
      <c r="N118" s="1359">
        <f>P118+J118+K118</f>
        <v>3825695</v>
      </c>
      <c r="O118" s="1360">
        <f t="shared" si="72"/>
        <v>91.579715654150576</v>
      </c>
      <c r="P118" s="720">
        <v>405584</v>
      </c>
      <c r="Q118" s="1360">
        <f t="shared" si="69"/>
        <v>53.553966067945971</v>
      </c>
      <c r="R118" s="720">
        <f t="shared" si="73"/>
        <v>216249.75</v>
      </c>
      <c r="S118" s="2967"/>
      <c r="T118" s="1302"/>
    </row>
    <row r="119" spans="1:30" ht="27.75" customHeight="1" x14ac:dyDescent="0.2">
      <c r="A119" s="2809" t="s">
        <v>56</v>
      </c>
      <c r="B119" s="746" t="s">
        <v>323</v>
      </c>
      <c r="C119" s="1341" t="s">
        <v>233</v>
      </c>
      <c r="D119" s="680"/>
      <c r="E119" s="678"/>
      <c r="F119" s="678"/>
      <c r="G119" s="678"/>
      <c r="H119" s="679"/>
      <c r="I119" s="680"/>
      <c r="J119" s="678"/>
      <c r="K119" s="678"/>
      <c r="L119" s="678"/>
      <c r="M119" s="679"/>
      <c r="N119" s="1355"/>
      <c r="O119" s="678"/>
      <c r="P119" s="678"/>
      <c r="Q119" s="678"/>
      <c r="R119" s="678"/>
      <c r="S119" s="2966" t="s">
        <v>130</v>
      </c>
      <c r="T119" s="1302"/>
      <c r="U119" s="537"/>
      <c r="V119" s="537"/>
      <c r="W119" s="537"/>
      <c r="X119" s="537"/>
      <c r="Y119" s="537"/>
      <c r="Z119" s="537"/>
      <c r="AA119" s="537"/>
      <c r="AB119" s="537"/>
      <c r="AC119" s="537"/>
      <c r="AD119" s="537"/>
    </row>
    <row r="120" spans="1:30" ht="13.5" customHeight="1" x14ac:dyDescent="0.2">
      <c r="A120" s="2810"/>
      <c r="B120" s="879" t="s">
        <v>3</v>
      </c>
      <c r="C120" s="566"/>
      <c r="D120" s="817">
        <f t="shared" ref="D120:H120" si="114">+D121+D124</f>
        <v>5944352</v>
      </c>
      <c r="E120" s="815">
        <f t="shared" si="114"/>
        <v>3435215</v>
      </c>
      <c r="F120" s="815">
        <f t="shared" si="114"/>
        <v>914517</v>
      </c>
      <c r="G120" s="815">
        <f t="shared" si="114"/>
        <v>957000</v>
      </c>
      <c r="H120" s="816">
        <f t="shared" si="114"/>
        <v>637620</v>
      </c>
      <c r="I120" s="817">
        <f t="shared" ref="I120:N120" si="115">+I121+I124</f>
        <v>5944352</v>
      </c>
      <c r="J120" s="815">
        <f t="shared" si="115"/>
        <v>3435215</v>
      </c>
      <c r="K120" s="815">
        <f t="shared" si="115"/>
        <v>914517</v>
      </c>
      <c r="L120" s="815">
        <f t="shared" si="115"/>
        <v>957000</v>
      </c>
      <c r="M120" s="816">
        <f t="shared" si="115"/>
        <v>637620</v>
      </c>
      <c r="N120" s="928">
        <f t="shared" si="115"/>
        <v>4588983</v>
      </c>
      <c r="O120" s="1277">
        <f t="shared" si="72"/>
        <v>77.199045413192223</v>
      </c>
      <c r="P120" s="815">
        <f>+P121+P124</f>
        <v>239251</v>
      </c>
      <c r="Q120" s="1277">
        <f t="shared" si="69"/>
        <v>25.000104493207942</v>
      </c>
      <c r="R120" s="815">
        <f t="shared" si="73"/>
        <v>1</v>
      </c>
      <c r="S120" s="2949"/>
      <c r="T120" s="1302"/>
    </row>
    <row r="121" spans="1:30" ht="12.75" customHeight="1" x14ac:dyDescent="0.2">
      <c r="A121" s="2810"/>
      <c r="B121" s="904" t="s">
        <v>18</v>
      </c>
      <c r="C121" s="2771" t="s">
        <v>148</v>
      </c>
      <c r="D121" s="820">
        <f t="shared" ref="D121:H121" si="116">+D122+D123</f>
        <v>891655</v>
      </c>
      <c r="E121" s="821">
        <f t="shared" si="116"/>
        <v>515284</v>
      </c>
      <c r="F121" s="821">
        <f t="shared" si="116"/>
        <v>137178</v>
      </c>
      <c r="G121" s="821">
        <f t="shared" si="116"/>
        <v>143550</v>
      </c>
      <c r="H121" s="822">
        <f t="shared" si="116"/>
        <v>95643</v>
      </c>
      <c r="I121" s="820">
        <f t="shared" ref="I121:N121" si="117">+I122+I123</f>
        <v>891655</v>
      </c>
      <c r="J121" s="821">
        <f t="shared" si="117"/>
        <v>515284</v>
      </c>
      <c r="K121" s="821">
        <f t="shared" si="117"/>
        <v>137178</v>
      </c>
      <c r="L121" s="821">
        <f t="shared" si="117"/>
        <v>143550</v>
      </c>
      <c r="M121" s="822">
        <f t="shared" si="117"/>
        <v>95643</v>
      </c>
      <c r="N121" s="930">
        <f t="shared" si="117"/>
        <v>688350</v>
      </c>
      <c r="O121" s="1259">
        <f t="shared" si="72"/>
        <v>77.199140923339186</v>
      </c>
      <c r="P121" s="821">
        <f>+P122+P123</f>
        <v>35888</v>
      </c>
      <c r="Q121" s="1259">
        <f t="shared" si="69"/>
        <v>25.000348310693138</v>
      </c>
      <c r="R121" s="821">
        <f t="shared" si="73"/>
        <v>0.5</v>
      </c>
      <c r="S121" s="2949"/>
      <c r="T121" s="1302"/>
    </row>
    <row r="122" spans="1:30" ht="13.5" hidden="1" customHeight="1" x14ac:dyDescent="0.2">
      <c r="A122" s="2810"/>
      <c r="B122" s="696" t="s">
        <v>5</v>
      </c>
      <c r="C122" s="2816"/>
      <c r="D122" s="697">
        <f>+E122+F122+G122+H122</f>
        <v>0</v>
      </c>
      <c r="E122" s="699">
        <v>0</v>
      </c>
      <c r="F122" s="733"/>
      <c r="G122" s="733"/>
      <c r="H122" s="824"/>
      <c r="I122" s="697">
        <f>+J122+K122+L122+M122</f>
        <v>0</v>
      </c>
      <c r="J122" s="699">
        <v>0</v>
      </c>
      <c r="K122" s="733"/>
      <c r="L122" s="733"/>
      <c r="M122" s="824"/>
      <c r="N122" s="848"/>
      <c r="O122" s="1357" t="e">
        <f t="shared" si="72"/>
        <v>#DIV/0!</v>
      </c>
      <c r="P122" s="699"/>
      <c r="Q122" s="1357" t="e">
        <f t="shared" si="69"/>
        <v>#DIV/0!</v>
      </c>
      <c r="R122" s="733">
        <f t="shared" ref="R122:R190" si="118">+P122-L122*0.25</f>
        <v>0</v>
      </c>
      <c r="S122" s="2949"/>
      <c r="T122" s="1302"/>
    </row>
    <row r="123" spans="1:30" ht="13.5" customHeight="1" x14ac:dyDescent="0.2">
      <c r="A123" s="2810"/>
      <c r="B123" s="696" t="s">
        <v>8</v>
      </c>
      <c r="C123" s="2816"/>
      <c r="D123" s="697">
        <f>+E123+F123+G123+H123</f>
        <v>891655</v>
      </c>
      <c r="E123" s="699">
        <f>201703+175332+138249</f>
        <v>515284</v>
      </c>
      <c r="F123" s="733">
        <v>137178</v>
      </c>
      <c r="G123" s="733">
        <v>143550</v>
      </c>
      <c r="H123" s="824">
        <v>95643</v>
      </c>
      <c r="I123" s="697">
        <f>+J123+K123+L123+M123</f>
        <v>891655</v>
      </c>
      <c r="J123" s="699">
        <f>201703+175332+138249</f>
        <v>515284</v>
      </c>
      <c r="K123" s="733">
        <v>137178</v>
      </c>
      <c r="L123" s="733">
        <v>143550</v>
      </c>
      <c r="M123" s="824">
        <v>95643</v>
      </c>
      <c r="N123" s="848">
        <f>P123+J123+K123</f>
        <v>688350</v>
      </c>
      <c r="O123" s="1357">
        <f t="shared" si="72"/>
        <v>77.199140923339186</v>
      </c>
      <c r="P123" s="699">
        <v>35888</v>
      </c>
      <c r="Q123" s="1357">
        <f t="shared" si="69"/>
        <v>25.000348310693138</v>
      </c>
      <c r="R123" s="733">
        <f t="shared" si="118"/>
        <v>0.5</v>
      </c>
      <c r="S123" s="2949"/>
      <c r="T123" s="1302"/>
    </row>
    <row r="124" spans="1:30" ht="12.75" customHeight="1" x14ac:dyDescent="0.2">
      <c r="A124" s="2810"/>
      <c r="B124" s="795" t="s">
        <v>13</v>
      </c>
      <c r="C124" s="2816"/>
      <c r="D124" s="704">
        <f t="shared" ref="D124:H124" si="119">+D125</f>
        <v>5052697</v>
      </c>
      <c r="E124" s="705">
        <f t="shared" si="119"/>
        <v>2919931</v>
      </c>
      <c r="F124" s="705">
        <f t="shared" si="119"/>
        <v>777339</v>
      </c>
      <c r="G124" s="705">
        <f t="shared" si="119"/>
        <v>813450</v>
      </c>
      <c r="H124" s="825">
        <f t="shared" si="119"/>
        <v>541977</v>
      </c>
      <c r="I124" s="704">
        <f t="shared" ref="I124:N124" si="120">+I125</f>
        <v>5052697</v>
      </c>
      <c r="J124" s="705">
        <f t="shared" si="120"/>
        <v>2919931</v>
      </c>
      <c r="K124" s="705">
        <f t="shared" si="120"/>
        <v>777339</v>
      </c>
      <c r="L124" s="705">
        <f t="shared" si="120"/>
        <v>813450</v>
      </c>
      <c r="M124" s="825">
        <f t="shared" si="120"/>
        <v>541977</v>
      </c>
      <c r="N124" s="847">
        <f t="shared" si="120"/>
        <v>3900633</v>
      </c>
      <c r="O124" s="1259">
        <f t="shared" si="72"/>
        <v>77.19902855841147</v>
      </c>
      <c r="P124" s="705">
        <f>+P125</f>
        <v>203363</v>
      </c>
      <c r="Q124" s="1259">
        <f t="shared" si="69"/>
        <v>25.000061466592904</v>
      </c>
      <c r="R124" s="705">
        <f t="shared" si="118"/>
        <v>0.5</v>
      </c>
      <c r="S124" s="2949"/>
      <c r="T124" s="1302"/>
    </row>
    <row r="125" spans="1:30" ht="12" customHeight="1" x14ac:dyDescent="0.2">
      <c r="A125" s="2810"/>
      <c r="B125" s="696" t="s">
        <v>15</v>
      </c>
      <c r="C125" s="2816"/>
      <c r="D125" s="697">
        <f>+E125+F125+G125+H125</f>
        <v>5052697</v>
      </c>
      <c r="E125" s="699">
        <f>1142978+993543+783410</f>
        <v>2919931</v>
      </c>
      <c r="F125" s="733">
        <v>777339</v>
      </c>
      <c r="G125" s="733">
        <v>813450</v>
      </c>
      <c r="H125" s="824">
        <v>541977</v>
      </c>
      <c r="I125" s="697">
        <f>+J125+K125+L125+M125</f>
        <v>5052697</v>
      </c>
      <c r="J125" s="699">
        <f>1142978+993543+783410</f>
        <v>2919931</v>
      </c>
      <c r="K125" s="733">
        <v>777339</v>
      </c>
      <c r="L125" s="733">
        <v>813450</v>
      </c>
      <c r="M125" s="824">
        <v>541977</v>
      </c>
      <c r="N125" s="848">
        <f>P125+J125+K125</f>
        <v>3900633</v>
      </c>
      <c r="O125" s="1357">
        <f t="shared" si="72"/>
        <v>77.19902855841147</v>
      </c>
      <c r="P125" s="699">
        <v>203363</v>
      </c>
      <c r="Q125" s="1357">
        <f t="shared" si="69"/>
        <v>25.000061466592904</v>
      </c>
      <c r="R125" s="733">
        <f t="shared" si="118"/>
        <v>0.5</v>
      </c>
      <c r="S125" s="2949"/>
      <c r="T125" s="1302"/>
    </row>
    <row r="126" spans="1:30" ht="13.5" customHeight="1" x14ac:dyDescent="0.2">
      <c r="A126" s="2811"/>
      <c r="B126" s="879" t="s">
        <v>17</v>
      </c>
      <c r="C126" s="566"/>
      <c r="D126" s="826">
        <f t="shared" ref="D126:H126" si="121">+D127+D129</f>
        <v>5944352</v>
      </c>
      <c r="E126" s="828">
        <f t="shared" si="121"/>
        <v>3435215</v>
      </c>
      <c r="F126" s="828">
        <f t="shared" si="121"/>
        <v>914517</v>
      </c>
      <c r="G126" s="828">
        <f t="shared" si="121"/>
        <v>957000</v>
      </c>
      <c r="H126" s="875">
        <f t="shared" si="121"/>
        <v>637620</v>
      </c>
      <c r="I126" s="826">
        <f t="shared" ref="I126:N126" si="122">+I127+I129</f>
        <v>5944352</v>
      </c>
      <c r="J126" s="828">
        <f t="shared" si="122"/>
        <v>3435215</v>
      </c>
      <c r="K126" s="828">
        <f t="shared" si="122"/>
        <v>914517</v>
      </c>
      <c r="L126" s="828">
        <f t="shared" si="122"/>
        <v>957000</v>
      </c>
      <c r="M126" s="875">
        <f t="shared" si="122"/>
        <v>637620</v>
      </c>
      <c r="N126" s="849">
        <f t="shared" si="122"/>
        <v>4624870</v>
      </c>
      <c r="O126" s="1277">
        <f t="shared" si="72"/>
        <v>77.80276134387735</v>
      </c>
      <c r="P126" s="828">
        <f>+P127+P129</f>
        <v>275138</v>
      </c>
      <c r="Q126" s="1277">
        <f t="shared" si="69"/>
        <v>28.750052246603968</v>
      </c>
      <c r="R126" s="828">
        <f t="shared" si="118"/>
        <v>35888</v>
      </c>
      <c r="S126" s="2949"/>
      <c r="T126" s="1302"/>
    </row>
    <row r="127" spans="1:30" ht="13.5" customHeight="1" x14ac:dyDescent="0.2">
      <c r="A127" s="2811"/>
      <c r="B127" s="904" t="s">
        <v>18</v>
      </c>
      <c r="C127" s="2825" t="s">
        <v>149</v>
      </c>
      <c r="D127" s="704">
        <f t="shared" ref="D127:H127" si="123">+D128</f>
        <v>891655</v>
      </c>
      <c r="E127" s="705">
        <f t="shared" si="123"/>
        <v>515284</v>
      </c>
      <c r="F127" s="705">
        <f t="shared" si="123"/>
        <v>137178</v>
      </c>
      <c r="G127" s="705">
        <f t="shared" si="123"/>
        <v>143550</v>
      </c>
      <c r="H127" s="825">
        <f t="shared" si="123"/>
        <v>95643</v>
      </c>
      <c r="I127" s="704">
        <f t="shared" ref="I127:N127" si="124">+I128</f>
        <v>891655</v>
      </c>
      <c r="J127" s="705">
        <f t="shared" si="124"/>
        <v>515284</v>
      </c>
      <c r="K127" s="705">
        <f t="shared" si="124"/>
        <v>137178</v>
      </c>
      <c r="L127" s="705">
        <f t="shared" si="124"/>
        <v>143550</v>
      </c>
      <c r="M127" s="825">
        <f t="shared" si="124"/>
        <v>95643</v>
      </c>
      <c r="N127" s="847">
        <f t="shared" si="124"/>
        <v>724237</v>
      </c>
      <c r="O127" s="1259">
        <f t="shared" si="72"/>
        <v>81.223903864162708</v>
      </c>
      <c r="P127" s="705">
        <f>+P128</f>
        <v>71775</v>
      </c>
      <c r="Q127" s="1259">
        <f t="shared" si="69"/>
        <v>50</v>
      </c>
      <c r="R127" s="705">
        <f t="shared" si="118"/>
        <v>35887.5</v>
      </c>
      <c r="S127" s="2949"/>
      <c r="T127" s="1302"/>
    </row>
    <row r="128" spans="1:30" ht="13.5" customHeight="1" x14ac:dyDescent="0.2">
      <c r="A128" s="2811"/>
      <c r="B128" s="696" t="s">
        <v>8</v>
      </c>
      <c r="C128" s="2816"/>
      <c r="D128" s="697">
        <f>+E128+F128+G128+H128</f>
        <v>891655</v>
      </c>
      <c r="E128" s="699">
        <f>201703+175332+138249</f>
        <v>515284</v>
      </c>
      <c r="F128" s="733">
        <v>137178</v>
      </c>
      <c r="G128" s="733">
        <v>143550</v>
      </c>
      <c r="H128" s="824">
        <v>95643</v>
      </c>
      <c r="I128" s="697">
        <f>+J128+K128+L128+M128</f>
        <v>891655</v>
      </c>
      <c r="J128" s="699">
        <f>201703+175332+138249</f>
        <v>515284</v>
      </c>
      <c r="K128" s="733">
        <v>137178</v>
      </c>
      <c r="L128" s="733">
        <v>143550</v>
      </c>
      <c r="M128" s="824">
        <v>95643</v>
      </c>
      <c r="N128" s="1348">
        <f>P128+J128+K128</f>
        <v>724237</v>
      </c>
      <c r="O128" s="1357">
        <f t="shared" si="72"/>
        <v>81.223903864162708</v>
      </c>
      <c r="P128" s="800">
        <v>71775</v>
      </c>
      <c r="Q128" s="1357">
        <f t="shared" si="69"/>
        <v>50</v>
      </c>
      <c r="R128" s="733">
        <f t="shared" si="118"/>
        <v>35887.5</v>
      </c>
      <c r="S128" s="2949"/>
      <c r="T128" s="1302"/>
    </row>
    <row r="129" spans="1:21" ht="12" customHeight="1" x14ac:dyDescent="0.2">
      <c r="A129" s="2811"/>
      <c r="B129" s="795" t="s">
        <v>13</v>
      </c>
      <c r="C129" s="2826"/>
      <c r="D129" s="704">
        <f t="shared" ref="D129:H129" si="125">+D130</f>
        <v>5052697</v>
      </c>
      <c r="E129" s="705">
        <f t="shared" si="125"/>
        <v>2919931</v>
      </c>
      <c r="F129" s="705">
        <f t="shared" si="125"/>
        <v>777339</v>
      </c>
      <c r="G129" s="705">
        <f t="shared" si="125"/>
        <v>813450</v>
      </c>
      <c r="H129" s="825">
        <f t="shared" si="125"/>
        <v>541977</v>
      </c>
      <c r="I129" s="704">
        <f t="shared" ref="I129:N129" si="126">+I130</f>
        <v>5052697</v>
      </c>
      <c r="J129" s="705">
        <f t="shared" si="126"/>
        <v>2919931</v>
      </c>
      <c r="K129" s="705">
        <f t="shared" si="126"/>
        <v>777339</v>
      </c>
      <c r="L129" s="705">
        <f t="shared" si="126"/>
        <v>813450</v>
      </c>
      <c r="M129" s="825">
        <f t="shared" si="126"/>
        <v>541977</v>
      </c>
      <c r="N129" s="847">
        <f t="shared" si="126"/>
        <v>3900633</v>
      </c>
      <c r="O129" s="1259">
        <f t="shared" si="72"/>
        <v>77.19902855841147</v>
      </c>
      <c r="P129" s="705">
        <f>+P130</f>
        <v>203363</v>
      </c>
      <c r="Q129" s="1259">
        <f t="shared" si="69"/>
        <v>25.000061466592904</v>
      </c>
      <c r="R129" s="705">
        <f t="shared" si="118"/>
        <v>0.5</v>
      </c>
      <c r="S129" s="2949"/>
      <c r="T129" s="1302"/>
    </row>
    <row r="130" spans="1:21" ht="13.5" customHeight="1" thickBot="1" x14ac:dyDescent="0.25">
      <c r="A130" s="2812"/>
      <c r="B130" s="717" t="s">
        <v>15</v>
      </c>
      <c r="C130" s="2827"/>
      <c r="D130" s="718">
        <f>+E130+F130+G130+H130</f>
        <v>5052697</v>
      </c>
      <c r="E130" s="699">
        <f>1142978+993543+783410</f>
        <v>2919931</v>
      </c>
      <c r="F130" s="733">
        <v>777339</v>
      </c>
      <c r="G130" s="733">
        <v>813450</v>
      </c>
      <c r="H130" s="824">
        <v>541977</v>
      </c>
      <c r="I130" s="718">
        <f>+J130+K130+L130+M130</f>
        <v>5052697</v>
      </c>
      <c r="J130" s="699">
        <f>1142978+993543+783410</f>
        <v>2919931</v>
      </c>
      <c r="K130" s="733">
        <v>777339</v>
      </c>
      <c r="L130" s="733">
        <v>813450</v>
      </c>
      <c r="M130" s="824">
        <v>541977</v>
      </c>
      <c r="N130" s="1359">
        <f>P130+J130+K130</f>
        <v>3900633</v>
      </c>
      <c r="O130" s="1360">
        <f t="shared" si="72"/>
        <v>77.19902855841147</v>
      </c>
      <c r="P130" s="720">
        <v>203363</v>
      </c>
      <c r="Q130" s="1360">
        <f t="shared" si="69"/>
        <v>25.000061466592904</v>
      </c>
      <c r="R130" s="733">
        <f t="shared" si="118"/>
        <v>0.5</v>
      </c>
      <c r="S130" s="2978"/>
      <c r="T130" s="1302"/>
    </row>
    <row r="131" spans="1:21" ht="27" customHeight="1" x14ac:dyDescent="0.2">
      <c r="A131" s="2809" t="s">
        <v>58</v>
      </c>
      <c r="B131" s="746" t="s">
        <v>322</v>
      </c>
      <c r="C131" s="1341" t="s">
        <v>233</v>
      </c>
      <c r="D131" s="680"/>
      <c r="E131" s="678"/>
      <c r="F131" s="678"/>
      <c r="G131" s="678"/>
      <c r="H131" s="679"/>
      <c r="I131" s="680"/>
      <c r="J131" s="678"/>
      <c r="K131" s="678"/>
      <c r="L131" s="678"/>
      <c r="M131" s="679"/>
      <c r="N131" s="1355"/>
      <c r="O131" s="678"/>
      <c r="P131" s="678"/>
      <c r="Q131" s="678"/>
      <c r="R131" s="678"/>
      <c r="S131" s="2966" t="s">
        <v>130</v>
      </c>
      <c r="T131" s="1302"/>
      <c r="U131" s="537"/>
    </row>
    <row r="132" spans="1:21" ht="12" customHeight="1" x14ac:dyDescent="0.2">
      <c r="A132" s="2810"/>
      <c r="B132" s="879" t="s">
        <v>3</v>
      </c>
      <c r="C132" s="566"/>
      <c r="D132" s="817">
        <f t="shared" ref="D132:H132" si="127">+D133+D136</f>
        <v>63516406</v>
      </c>
      <c r="E132" s="815">
        <f t="shared" si="127"/>
        <v>27320640</v>
      </c>
      <c r="F132" s="815">
        <f t="shared" si="127"/>
        <v>8426857</v>
      </c>
      <c r="G132" s="815">
        <f t="shared" si="127"/>
        <v>9788882</v>
      </c>
      <c r="H132" s="816">
        <f t="shared" si="127"/>
        <v>17980027</v>
      </c>
      <c r="I132" s="817">
        <f t="shared" ref="I132:N132" si="128">+I133+I136</f>
        <v>63516406</v>
      </c>
      <c r="J132" s="815">
        <f t="shared" si="128"/>
        <v>27320640</v>
      </c>
      <c r="K132" s="815">
        <f t="shared" si="128"/>
        <v>8426857</v>
      </c>
      <c r="L132" s="815">
        <f t="shared" si="128"/>
        <v>9788882</v>
      </c>
      <c r="M132" s="816">
        <f t="shared" si="128"/>
        <v>17980027</v>
      </c>
      <c r="N132" s="928">
        <f t="shared" si="128"/>
        <v>38033117</v>
      </c>
      <c r="O132" s="1277">
        <f t="shared" si="72"/>
        <v>59.879201918320121</v>
      </c>
      <c r="P132" s="815">
        <f>+P133+P136</f>
        <v>2285620</v>
      </c>
      <c r="Q132" s="1277">
        <f t="shared" si="69"/>
        <v>23.349142425049152</v>
      </c>
      <c r="R132" s="815">
        <f t="shared" si="118"/>
        <v>-161600.5</v>
      </c>
      <c r="S132" s="2949"/>
      <c r="T132" s="1302"/>
    </row>
    <row r="133" spans="1:21" ht="13.5" customHeight="1" x14ac:dyDescent="0.2">
      <c r="A133" s="2810"/>
      <c r="B133" s="904" t="s">
        <v>18</v>
      </c>
      <c r="C133" s="2771" t="s">
        <v>148</v>
      </c>
      <c r="D133" s="820">
        <f t="shared" ref="D133:H133" si="129">+D134+D135</f>
        <v>9527459</v>
      </c>
      <c r="E133" s="821">
        <f t="shared" si="129"/>
        <v>4098094</v>
      </c>
      <c r="F133" s="821">
        <f t="shared" si="129"/>
        <v>1264029</v>
      </c>
      <c r="G133" s="821">
        <f t="shared" si="129"/>
        <v>1468332</v>
      </c>
      <c r="H133" s="822">
        <f t="shared" si="129"/>
        <v>2697004</v>
      </c>
      <c r="I133" s="820">
        <f t="shared" ref="I133:N133" si="130">+I134+I135</f>
        <v>9527459</v>
      </c>
      <c r="J133" s="821">
        <f t="shared" si="130"/>
        <v>4098094</v>
      </c>
      <c r="K133" s="821">
        <f t="shared" si="130"/>
        <v>1264029</v>
      </c>
      <c r="L133" s="821">
        <f t="shared" si="130"/>
        <v>1468332</v>
      </c>
      <c r="M133" s="822">
        <f t="shared" si="130"/>
        <v>2697004</v>
      </c>
      <c r="N133" s="930">
        <f t="shared" si="130"/>
        <v>5704966</v>
      </c>
      <c r="O133" s="1259">
        <f t="shared" si="72"/>
        <v>59.879197590879166</v>
      </c>
      <c r="P133" s="821">
        <f>+P134+P135</f>
        <v>342843</v>
      </c>
      <c r="Q133" s="1259">
        <f t="shared" si="69"/>
        <v>23.349147195593368</v>
      </c>
      <c r="R133" s="821">
        <f t="shared" si="118"/>
        <v>-24240</v>
      </c>
      <c r="S133" s="2949"/>
      <c r="T133" s="1302"/>
    </row>
    <row r="134" spans="1:21" ht="12" customHeight="1" x14ac:dyDescent="0.2">
      <c r="A134" s="2810"/>
      <c r="B134" s="696" t="s">
        <v>5</v>
      </c>
      <c r="C134" s="2816"/>
      <c r="D134" s="697">
        <f>+E134+F134+G134+H134</f>
        <v>9513881</v>
      </c>
      <c r="E134" s="699">
        <f>1658516+1157208+1268792</f>
        <v>4084516</v>
      </c>
      <c r="F134" s="733">
        <v>1264029</v>
      </c>
      <c r="G134" s="733">
        <v>1468332</v>
      </c>
      <c r="H134" s="824">
        <f>1471416+1225588</f>
        <v>2697004</v>
      </c>
      <c r="I134" s="697">
        <f>+J134+K134+L134+M134</f>
        <v>9513881</v>
      </c>
      <c r="J134" s="699">
        <f>1658516+1157208+1268792</f>
        <v>4084516</v>
      </c>
      <c r="K134" s="733">
        <v>1264029</v>
      </c>
      <c r="L134" s="733">
        <v>1468332</v>
      </c>
      <c r="M134" s="824">
        <f>1471416+1225588</f>
        <v>2697004</v>
      </c>
      <c r="N134" s="848">
        <f>J134+K134+P134</f>
        <v>5691388</v>
      </c>
      <c r="O134" s="1357">
        <f t="shared" si="72"/>
        <v>59.821938071329669</v>
      </c>
      <c r="P134" s="699">
        <v>342843</v>
      </c>
      <c r="Q134" s="1357">
        <f t="shared" si="69"/>
        <v>23.349147195593368</v>
      </c>
      <c r="R134" s="733">
        <f t="shared" si="118"/>
        <v>-24240</v>
      </c>
      <c r="S134" s="2949"/>
      <c r="T134" s="1302"/>
    </row>
    <row r="135" spans="1:21" ht="12.75" customHeight="1" x14ac:dyDescent="0.2">
      <c r="A135" s="2810"/>
      <c r="B135" s="696" t="s">
        <v>8</v>
      </c>
      <c r="C135" s="2816"/>
      <c r="D135" s="697">
        <f>+E135+F135+G135+H135</f>
        <v>13578</v>
      </c>
      <c r="E135" s="733">
        <f>10500-6809+9887</f>
        <v>13578</v>
      </c>
      <c r="F135" s="735">
        <v>0</v>
      </c>
      <c r="G135" s="735">
        <v>0</v>
      </c>
      <c r="H135" s="736">
        <v>0</v>
      </c>
      <c r="I135" s="697">
        <f>+J135+K135+L135+M135</f>
        <v>13578</v>
      </c>
      <c r="J135" s="733">
        <f>10500-6809+9887</f>
        <v>13578</v>
      </c>
      <c r="K135" s="735">
        <v>0</v>
      </c>
      <c r="L135" s="735">
        <v>0</v>
      </c>
      <c r="M135" s="736">
        <v>0</v>
      </c>
      <c r="N135" s="1348">
        <f>P135+J135+K135</f>
        <v>13578</v>
      </c>
      <c r="O135" s="1357">
        <f t="shared" si="72"/>
        <v>100</v>
      </c>
      <c r="P135" s="698">
        <v>0</v>
      </c>
      <c r="Q135" s="1336">
        <v>0</v>
      </c>
      <c r="R135" s="735">
        <f t="shared" si="118"/>
        <v>0</v>
      </c>
      <c r="S135" s="2949"/>
      <c r="T135" s="1302"/>
      <c r="U135" s="537"/>
    </row>
    <row r="136" spans="1:21" ht="12.75" customHeight="1" x14ac:dyDescent="0.2">
      <c r="A136" s="2810"/>
      <c r="B136" s="795" t="s">
        <v>13</v>
      </c>
      <c r="C136" s="2816"/>
      <c r="D136" s="704">
        <f t="shared" ref="D136:H136" si="131">+D137</f>
        <v>53988947</v>
      </c>
      <c r="E136" s="705">
        <f t="shared" si="131"/>
        <v>23222546</v>
      </c>
      <c r="F136" s="705">
        <f t="shared" si="131"/>
        <v>7162828</v>
      </c>
      <c r="G136" s="705">
        <f t="shared" si="131"/>
        <v>8320550</v>
      </c>
      <c r="H136" s="825">
        <f t="shared" si="131"/>
        <v>15283023</v>
      </c>
      <c r="I136" s="704">
        <f t="shared" ref="I136:N136" si="132">+I137</f>
        <v>53988947</v>
      </c>
      <c r="J136" s="705">
        <f t="shared" si="132"/>
        <v>23222546</v>
      </c>
      <c r="K136" s="705">
        <f t="shared" si="132"/>
        <v>7162828</v>
      </c>
      <c r="L136" s="705">
        <f t="shared" si="132"/>
        <v>8320550</v>
      </c>
      <c r="M136" s="825">
        <f t="shared" si="132"/>
        <v>15283023</v>
      </c>
      <c r="N136" s="847">
        <f t="shared" si="132"/>
        <v>32328151</v>
      </c>
      <c r="O136" s="1259">
        <f t="shared" si="72"/>
        <v>59.879202681986001</v>
      </c>
      <c r="P136" s="705">
        <f>+P137</f>
        <v>1942777</v>
      </c>
      <c r="Q136" s="1259">
        <f t="shared" si="69"/>
        <v>23.349141583188612</v>
      </c>
      <c r="R136" s="705">
        <f t="shared" si="118"/>
        <v>-137360.5</v>
      </c>
      <c r="S136" s="2949"/>
      <c r="T136" s="1302"/>
    </row>
    <row r="137" spans="1:21" ht="12.75" customHeight="1" x14ac:dyDescent="0.2">
      <c r="A137" s="2810"/>
      <c r="B137" s="696" t="s">
        <v>15</v>
      </c>
      <c r="C137" s="2816"/>
      <c r="D137" s="697">
        <f>+E137+F137+G137+H137</f>
        <v>53988947</v>
      </c>
      <c r="E137" s="699">
        <f>9398267+6578429+7245850</f>
        <v>23222546</v>
      </c>
      <c r="F137" s="733">
        <v>7162828</v>
      </c>
      <c r="G137" s="733">
        <v>8320550</v>
      </c>
      <c r="H137" s="824">
        <f>8338023+6945000</f>
        <v>15283023</v>
      </c>
      <c r="I137" s="697">
        <f>+J137+K137+L137+M137</f>
        <v>53988947</v>
      </c>
      <c r="J137" s="699">
        <f>9398267+6578429+7245850</f>
        <v>23222546</v>
      </c>
      <c r="K137" s="733">
        <v>7162828</v>
      </c>
      <c r="L137" s="733">
        <v>8320550</v>
      </c>
      <c r="M137" s="824">
        <f>8338023+6945000</f>
        <v>15283023</v>
      </c>
      <c r="N137" s="848">
        <f>J137+K137+P137</f>
        <v>32328151</v>
      </c>
      <c r="O137" s="1357">
        <f t="shared" si="72"/>
        <v>59.879202681986001</v>
      </c>
      <c r="P137" s="699">
        <v>1942777</v>
      </c>
      <c r="Q137" s="1357">
        <f t="shared" si="69"/>
        <v>23.349141583188612</v>
      </c>
      <c r="R137" s="733">
        <f t="shared" si="118"/>
        <v>-137360.5</v>
      </c>
      <c r="S137" s="2949"/>
      <c r="T137" s="1302"/>
    </row>
    <row r="138" spans="1:21" ht="11.25" customHeight="1" x14ac:dyDescent="0.2">
      <c r="A138" s="2811"/>
      <c r="B138" s="879" t="s">
        <v>17</v>
      </c>
      <c r="C138" s="566"/>
      <c r="D138" s="826">
        <f t="shared" ref="D138" si="133">+D139+D141</f>
        <v>54002525</v>
      </c>
      <c r="E138" s="828">
        <f>+E139+E141</f>
        <v>23236124</v>
      </c>
      <c r="F138" s="828">
        <f>+F139+F141</f>
        <v>7162828</v>
      </c>
      <c r="G138" s="828">
        <f t="shared" ref="G138:H138" si="134">+G139+G141</f>
        <v>8320550</v>
      </c>
      <c r="H138" s="875">
        <f t="shared" si="134"/>
        <v>15283023</v>
      </c>
      <c r="I138" s="826">
        <f t="shared" ref="I138:N138" si="135">+I139+I141</f>
        <v>54002525</v>
      </c>
      <c r="J138" s="828">
        <f>+J139+J141</f>
        <v>23236124</v>
      </c>
      <c r="K138" s="828">
        <f>+K139+K141</f>
        <v>7162828</v>
      </c>
      <c r="L138" s="828">
        <f t="shared" si="135"/>
        <v>8320550</v>
      </c>
      <c r="M138" s="875">
        <f t="shared" si="135"/>
        <v>15283023</v>
      </c>
      <c r="N138" s="849">
        <f t="shared" si="135"/>
        <v>33643483</v>
      </c>
      <c r="O138" s="1277">
        <f t="shared" si="72"/>
        <v>62.299833202243782</v>
      </c>
      <c r="P138" s="828">
        <f>+P139+P141</f>
        <v>3244531</v>
      </c>
      <c r="Q138" s="1277">
        <f t="shared" si="69"/>
        <v>38.994189086058014</v>
      </c>
      <c r="R138" s="828">
        <f t="shared" si="118"/>
        <v>1164393.5</v>
      </c>
      <c r="S138" s="2951"/>
      <c r="T138" s="1302"/>
    </row>
    <row r="139" spans="1:21" ht="12.75" customHeight="1" x14ac:dyDescent="0.2">
      <c r="A139" s="2811"/>
      <c r="B139" s="904" t="s">
        <v>18</v>
      </c>
      <c r="C139" s="2825" t="s">
        <v>149</v>
      </c>
      <c r="D139" s="704">
        <f t="shared" ref="D139:H139" si="136">+D140</f>
        <v>13578</v>
      </c>
      <c r="E139" s="705">
        <f t="shared" si="136"/>
        <v>13578</v>
      </c>
      <c r="F139" s="706">
        <f t="shared" si="136"/>
        <v>0</v>
      </c>
      <c r="G139" s="706">
        <f t="shared" si="136"/>
        <v>0</v>
      </c>
      <c r="H139" s="707">
        <f t="shared" si="136"/>
        <v>0</v>
      </c>
      <c r="I139" s="704">
        <f t="shared" ref="I139:N139" si="137">+I140</f>
        <v>13578</v>
      </c>
      <c r="J139" s="705">
        <f t="shared" si="137"/>
        <v>13578</v>
      </c>
      <c r="K139" s="706">
        <f t="shared" si="137"/>
        <v>0</v>
      </c>
      <c r="L139" s="706">
        <f t="shared" si="137"/>
        <v>0</v>
      </c>
      <c r="M139" s="707">
        <f t="shared" si="137"/>
        <v>0</v>
      </c>
      <c r="N139" s="847">
        <f t="shared" si="137"/>
        <v>13578</v>
      </c>
      <c r="O139" s="1259">
        <f t="shared" si="72"/>
        <v>100</v>
      </c>
      <c r="P139" s="706">
        <f>+P140</f>
        <v>0</v>
      </c>
      <c r="Q139" s="853">
        <v>0</v>
      </c>
      <c r="R139" s="706">
        <f t="shared" si="118"/>
        <v>0</v>
      </c>
      <c r="S139" s="2951"/>
      <c r="T139" s="1302"/>
    </row>
    <row r="140" spans="1:21" ht="12.75" customHeight="1" x14ac:dyDescent="0.2">
      <c r="A140" s="2811"/>
      <c r="B140" s="696" t="s">
        <v>8</v>
      </c>
      <c r="C140" s="2816"/>
      <c r="D140" s="697">
        <f>+E140+F140+G140+H140</f>
        <v>13578</v>
      </c>
      <c r="E140" s="800">
        <f>10500-6809+9887</f>
        <v>13578</v>
      </c>
      <c r="F140" s="809">
        <v>0</v>
      </c>
      <c r="G140" s="809">
        <v>0</v>
      </c>
      <c r="H140" s="810">
        <v>0</v>
      </c>
      <c r="I140" s="697">
        <f>+J140+K140+L140+M140</f>
        <v>13578</v>
      </c>
      <c r="J140" s="800">
        <f>10500-6809+9887</f>
        <v>13578</v>
      </c>
      <c r="K140" s="809">
        <v>0</v>
      </c>
      <c r="L140" s="809">
        <v>0</v>
      </c>
      <c r="M140" s="810">
        <v>0</v>
      </c>
      <c r="N140" s="1348">
        <f>P140+J140+K140</f>
        <v>13578</v>
      </c>
      <c r="O140" s="1357">
        <f t="shared" si="72"/>
        <v>100</v>
      </c>
      <c r="P140" s="809">
        <v>0</v>
      </c>
      <c r="Q140" s="1336">
        <v>0</v>
      </c>
      <c r="R140" s="809">
        <f t="shared" si="118"/>
        <v>0</v>
      </c>
      <c r="S140" s="2951"/>
      <c r="T140" s="1302"/>
    </row>
    <row r="141" spans="1:21" ht="12.75" customHeight="1" x14ac:dyDescent="0.2">
      <c r="A141" s="2811"/>
      <c r="B141" s="795" t="s">
        <v>13</v>
      </c>
      <c r="C141" s="2826"/>
      <c r="D141" s="704">
        <f t="shared" ref="D141:H141" si="138">+D142</f>
        <v>53988947</v>
      </c>
      <c r="E141" s="705">
        <f t="shared" si="138"/>
        <v>23222546</v>
      </c>
      <c r="F141" s="705">
        <f t="shared" si="138"/>
        <v>7162828</v>
      </c>
      <c r="G141" s="705">
        <f t="shared" si="138"/>
        <v>8320550</v>
      </c>
      <c r="H141" s="825">
        <f t="shared" si="138"/>
        <v>15283023</v>
      </c>
      <c r="I141" s="704">
        <f t="shared" ref="I141:N141" si="139">+I142</f>
        <v>53988947</v>
      </c>
      <c r="J141" s="705">
        <f t="shared" si="139"/>
        <v>23222546</v>
      </c>
      <c r="K141" s="705">
        <f t="shared" si="139"/>
        <v>7162828</v>
      </c>
      <c r="L141" s="705">
        <f t="shared" si="139"/>
        <v>8320550</v>
      </c>
      <c r="M141" s="825">
        <f t="shared" si="139"/>
        <v>15283023</v>
      </c>
      <c r="N141" s="847">
        <f t="shared" si="139"/>
        <v>33629905</v>
      </c>
      <c r="O141" s="1259">
        <f t="shared" si="72"/>
        <v>62.290351764037922</v>
      </c>
      <c r="P141" s="705">
        <f>+P142</f>
        <v>3244531</v>
      </c>
      <c r="Q141" s="1259">
        <f t="shared" si="69"/>
        <v>38.994189086058014</v>
      </c>
      <c r="R141" s="705">
        <f t="shared" si="118"/>
        <v>1164393.5</v>
      </c>
      <c r="S141" s="2951"/>
      <c r="T141" s="1302"/>
    </row>
    <row r="142" spans="1:21" ht="12" customHeight="1" thickBot="1" x14ac:dyDescent="0.25">
      <c r="A142" s="2812"/>
      <c r="B142" s="717" t="s">
        <v>15</v>
      </c>
      <c r="C142" s="2827"/>
      <c r="D142" s="718">
        <f>+E142+F142+G142+H142</f>
        <v>53988947</v>
      </c>
      <c r="E142" s="699">
        <f>9398267+6578429+7245850</f>
        <v>23222546</v>
      </c>
      <c r="F142" s="733">
        <v>7162828</v>
      </c>
      <c r="G142" s="733">
        <v>8320550</v>
      </c>
      <c r="H142" s="824">
        <f>8338023+6945000</f>
        <v>15283023</v>
      </c>
      <c r="I142" s="718">
        <f>+J142+K142+L142+M142</f>
        <v>53988947</v>
      </c>
      <c r="J142" s="699">
        <f>9398267+6578429+7245850</f>
        <v>23222546</v>
      </c>
      <c r="K142" s="733">
        <v>7162828</v>
      </c>
      <c r="L142" s="733">
        <v>8320550</v>
      </c>
      <c r="M142" s="824">
        <f>8338023+6945000</f>
        <v>15283023</v>
      </c>
      <c r="N142" s="1359">
        <f>J142+K142+P142</f>
        <v>33629905</v>
      </c>
      <c r="O142" s="1360">
        <f t="shared" si="72"/>
        <v>62.290351764037922</v>
      </c>
      <c r="P142" s="720">
        <v>3244531</v>
      </c>
      <c r="Q142" s="1360">
        <f t="shared" si="69"/>
        <v>38.994189086058014</v>
      </c>
      <c r="R142" s="733">
        <f t="shared" si="118"/>
        <v>1164393.5</v>
      </c>
      <c r="S142" s="2979"/>
      <c r="T142" s="1302"/>
    </row>
    <row r="143" spans="1:21" ht="27.75" customHeight="1" x14ac:dyDescent="0.2">
      <c r="A143" s="2809" t="s">
        <v>60</v>
      </c>
      <c r="B143" s="746" t="s">
        <v>309</v>
      </c>
      <c r="C143" s="676" t="s">
        <v>225</v>
      </c>
      <c r="D143" s="680"/>
      <c r="E143" s="678"/>
      <c r="F143" s="678"/>
      <c r="G143" s="678"/>
      <c r="H143" s="679"/>
      <c r="I143" s="680"/>
      <c r="J143" s="678"/>
      <c r="K143" s="678"/>
      <c r="L143" s="678"/>
      <c r="M143" s="679"/>
      <c r="N143" s="1355"/>
      <c r="O143" s="678"/>
      <c r="P143" s="678"/>
      <c r="Q143" s="678"/>
      <c r="R143" s="678"/>
      <c r="S143" s="2966" t="s">
        <v>130</v>
      </c>
      <c r="T143" s="1302"/>
    </row>
    <row r="144" spans="1:21" ht="13.5" customHeight="1" x14ac:dyDescent="0.2">
      <c r="A144" s="2810"/>
      <c r="B144" s="879" t="s">
        <v>3</v>
      </c>
      <c r="C144" s="566"/>
      <c r="D144" s="817">
        <f t="shared" ref="D144:G144" si="140">+D145+D148</f>
        <v>179506</v>
      </c>
      <c r="E144" s="815">
        <f t="shared" si="140"/>
        <v>126565</v>
      </c>
      <c r="F144" s="815">
        <f t="shared" si="140"/>
        <v>0</v>
      </c>
      <c r="G144" s="815">
        <f t="shared" si="140"/>
        <v>52941</v>
      </c>
      <c r="H144" s="1388">
        <f>+H145+H148</f>
        <v>0</v>
      </c>
      <c r="I144" s="817">
        <f t="shared" ref="I144:N144" si="141">+I145+I148</f>
        <v>179506</v>
      </c>
      <c r="J144" s="815">
        <f t="shared" si="141"/>
        <v>126565</v>
      </c>
      <c r="K144" s="815">
        <f t="shared" si="141"/>
        <v>0</v>
      </c>
      <c r="L144" s="815">
        <f t="shared" si="141"/>
        <v>52941</v>
      </c>
      <c r="M144" s="1388">
        <f>+M145+M148</f>
        <v>0</v>
      </c>
      <c r="N144" s="928">
        <f t="shared" si="141"/>
        <v>126565</v>
      </c>
      <c r="O144" s="1277">
        <f t="shared" ref="O144:O190" si="142">N144/D144*100</f>
        <v>70.507392510556755</v>
      </c>
      <c r="P144" s="851">
        <f>+P145+P148</f>
        <v>0</v>
      </c>
      <c r="Q144" s="1277">
        <f t="shared" ref="Q144:Q190" si="143">P144/G144*100</f>
        <v>0</v>
      </c>
      <c r="R144" s="815">
        <f t="shared" ref="R144:R154" si="144">+P144-L144*0.25</f>
        <v>-13235.25</v>
      </c>
      <c r="S144" s="2949"/>
      <c r="T144" s="1302"/>
    </row>
    <row r="145" spans="1:20" ht="13.5" customHeight="1" x14ac:dyDescent="0.2">
      <c r="A145" s="2810"/>
      <c r="B145" s="904" t="s">
        <v>18</v>
      </c>
      <c r="C145" s="2771" t="s">
        <v>148</v>
      </c>
      <c r="D145" s="820">
        <f t="shared" ref="D145:G145" si="145">+D146+D147</f>
        <v>26926</v>
      </c>
      <c r="E145" s="821">
        <f t="shared" si="145"/>
        <v>18985</v>
      </c>
      <c r="F145" s="821">
        <f t="shared" si="145"/>
        <v>0</v>
      </c>
      <c r="G145" s="821">
        <f t="shared" si="145"/>
        <v>7941</v>
      </c>
      <c r="H145" s="736">
        <f>+H146+H147</f>
        <v>0</v>
      </c>
      <c r="I145" s="820">
        <f t="shared" ref="I145:N145" si="146">+I146+I147</f>
        <v>26926</v>
      </c>
      <c r="J145" s="821">
        <f t="shared" si="146"/>
        <v>18985</v>
      </c>
      <c r="K145" s="821">
        <f t="shared" si="146"/>
        <v>0</v>
      </c>
      <c r="L145" s="821">
        <f t="shared" si="146"/>
        <v>7941</v>
      </c>
      <c r="M145" s="736">
        <f>+M146+M147</f>
        <v>0</v>
      </c>
      <c r="N145" s="930">
        <f t="shared" si="146"/>
        <v>18985</v>
      </c>
      <c r="O145" s="1259">
        <f t="shared" si="142"/>
        <v>70.508059125009282</v>
      </c>
      <c r="P145" s="853">
        <f>+P146+P147</f>
        <v>0</v>
      </c>
      <c r="Q145" s="1259">
        <f t="shared" si="143"/>
        <v>0</v>
      </c>
      <c r="R145" s="821">
        <f t="shared" si="144"/>
        <v>-1985.25</v>
      </c>
      <c r="S145" s="2949"/>
      <c r="T145" s="1302"/>
    </row>
    <row r="146" spans="1:20" ht="13.5" customHeight="1" x14ac:dyDescent="0.2">
      <c r="A146" s="2810"/>
      <c r="B146" s="696" t="s">
        <v>5</v>
      </c>
      <c r="C146" s="2816"/>
      <c r="D146" s="697">
        <f>+E146+F146+G146+H146</f>
        <v>26926</v>
      </c>
      <c r="E146" s="733">
        <f>10841+2247+5897</f>
        <v>18985</v>
      </c>
      <c r="F146" s="733">
        <v>0</v>
      </c>
      <c r="G146" s="733">
        <v>7941</v>
      </c>
      <c r="H146" s="736">
        <v>0</v>
      </c>
      <c r="I146" s="697">
        <f>+J146+K146+L146+M146</f>
        <v>26926</v>
      </c>
      <c r="J146" s="733">
        <f>10841+2247+5897</f>
        <v>18985</v>
      </c>
      <c r="K146" s="733">
        <v>0</v>
      </c>
      <c r="L146" s="733">
        <v>7941</v>
      </c>
      <c r="M146" s="736">
        <v>0</v>
      </c>
      <c r="N146" s="1348">
        <f>P146+J146+K146</f>
        <v>18985</v>
      </c>
      <c r="O146" s="1357">
        <f t="shared" si="142"/>
        <v>70.508059125009282</v>
      </c>
      <c r="P146" s="698">
        <v>0</v>
      </c>
      <c r="Q146" s="1357">
        <f t="shared" si="143"/>
        <v>0</v>
      </c>
      <c r="R146" s="733">
        <f t="shared" si="144"/>
        <v>-1985.25</v>
      </c>
      <c r="S146" s="2949"/>
      <c r="T146" s="1302"/>
    </row>
    <row r="147" spans="1:20" ht="13.5" hidden="1" customHeight="1" x14ac:dyDescent="0.2">
      <c r="A147" s="2810"/>
      <c r="B147" s="696" t="s">
        <v>8</v>
      </c>
      <c r="C147" s="2816"/>
      <c r="D147" s="697">
        <f>+E147+F147+G147+H147</f>
        <v>0</v>
      </c>
      <c r="E147" s="733"/>
      <c r="F147" s="733"/>
      <c r="G147" s="735">
        <v>0</v>
      </c>
      <c r="H147" s="736">
        <v>0</v>
      </c>
      <c r="I147" s="697">
        <f>+J147+K147+L147+M147</f>
        <v>0</v>
      </c>
      <c r="J147" s="733"/>
      <c r="K147" s="733"/>
      <c r="L147" s="735">
        <v>0</v>
      </c>
      <c r="M147" s="736">
        <v>0</v>
      </c>
      <c r="N147" s="1348">
        <f>P147+J147+K147</f>
        <v>0</v>
      </c>
      <c r="O147" s="1357" t="e">
        <f t="shared" si="142"/>
        <v>#DIV/0!</v>
      </c>
      <c r="P147" s="698">
        <v>0</v>
      </c>
      <c r="Q147" s="1357" t="e">
        <f t="shared" si="143"/>
        <v>#DIV/0!</v>
      </c>
      <c r="R147" s="733">
        <f t="shared" si="144"/>
        <v>0</v>
      </c>
      <c r="S147" s="2949"/>
      <c r="T147" s="1302"/>
    </row>
    <row r="148" spans="1:20" ht="12.75" customHeight="1" x14ac:dyDescent="0.2">
      <c r="A148" s="2810"/>
      <c r="B148" s="795" t="s">
        <v>13</v>
      </c>
      <c r="C148" s="2816"/>
      <c r="D148" s="704">
        <f t="shared" ref="D148:H148" si="147">+D149</f>
        <v>152580</v>
      </c>
      <c r="E148" s="705">
        <f t="shared" si="147"/>
        <v>107580</v>
      </c>
      <c r="F148" s="705">
        <f t="shared" si="147"/>
        <v>0</v>
      </c>
      <c r="G148" s="705">
        <f t="shared" si="147"/>
        <v>45000</v>
      </c>
      <c r="H148" s="810">
        <f t="shared" si="147"/>
        <v>0</v>
      </c>
      <c r="I148" s="704">
        <f t="shared" ref="I148:N148" si="148">+I149</f>
        <v>152580</v>
      </c>
      <c r="J148" s="705">
        <f t="shared" si="148"/>
        <v>107580</v>
      </c>
      <c r="K148" s="705">
        <f t="shared" si="148"/>
        <v>0</v>
      </c>
      <c r="L148" s="705">
        <f t="shared" si="148"/>
        <v>45000</v>
      </c>
      <c r="M148" s="810">
        <f t="shared" si="148"/>
        <v>0</v>
      </c>
      <c r="N148" s="847">
        <f t="shared" si="148"/>
        <v>107580</v>
      </c>
      <c r="O148" s="1259">
        <f t="shared" si="142"/>
        <v>70.507274872198195</v>
      </c>
      <c r="P148" s="706">
        <f>+P149</f>
        <v>0</v>
      </c>
      <c r="Q148" s="1259">
        <f t="shared" si="143"/>
        <v>0</v>
      </c>
      <c r="R148" s="705">
        <f t="shared" si="144"/>
        <v>-11250</v>
      </c>
      <c r="S148" s="2949"/>
      <c r="T148" s="1302"/>
    </row>
    <row r="149" spans="1:20" ht="13.5" customHeight="1" x14ac:dyDescent="0.2">
      <c r="A149" s="2810"/>
      <c r="B149" s="696" t="s">
        <v>15</v>
      </c>
      <c r="C149" s="2816"/>
      <c r="D149" s="697">
        <f>+E149+F149+G149+H149</f>
        <v>152580</v>
      </c>
      <c r="E149" s="733">
        <f>61432+12734+33414</f>
        <v>107580</v>
      </c>
      <c r="F149" s="733">
        <v>0</v>
      </c>
      <c r="G149" s="733">
        <v>45000</v>
      </c>
      <c r="H149" s="736">
        <v>0</v>
      </c>
      <c r="I149" s="697">
        <f>+J149+K149+L149+M149</f>
        <v>152580</v>
      </c>
      <c r="J149" s="733">
        <f>61432+12734+33414</f>
        <v>107580</v>
      </c>
      <c r="K149" s="733">
        <v>0</v>
      </c>
      <c r="L149" s="733">
        <v>45000</v>
      </c>
      <c r="M149" s="736">
        <v>0</v>
      </c>
      <c r="N149" s="1348">
        <f>P149+J149+K149</f>
        <v>107580</v>
      </c>
      <c r="O149" s="1357">
        <f t="shared" si="142"/>
        <v>70.507274872198195</v>
      </c>
      <c r="P149" s="698">
        <v>0</v>
      </c>
      <c r="Q149" s="1357">
        <f t="shared" si="143"/>
        <v>0</v>
      </c>
      <c r="R149" s="733">
        <f t="shared" si="144"/>
        <v>-11250</v>
      </c>
      <c r="S149" s="2949"/>
      <c r="T149" s="1302"/>
    </row>
    <row r="150" spans="1:20" ht="13.5" customHeight="1" x14ac:dyDescent="0.2">
      <c r="A150" s="2811"/>
      <c r="B150" s="879" t="s">
        <v>17</v>
      </c>
      <c r="C150" s="566"/>
      <c r="D150" s="826">
        <f t="shared" ref="D150:H150" si="149">+D151+D153</f>
        <v>152580</v>
      </c>
      <c r="E150" s="828">
        <f t="shared" si="149"/>
        <v>107580</v>
      </c>
      <c r="F150" s="828">
        <f t="shared" si="149"/>
        <v>0</v>
      </c>
      <c r="G150" s="828">
        <f t="shared" si="149"/>
        <v>45000</v>
      </c>
      <c r="H150" s="1389">
        <f t="shared" si="149"/>
        <v>0</v>
      </c>
      <c r="I150" s="826">
        <f t="shared" ref="I150:N150" si="150">+I151+I153</f>
        <v>152580</v>
      </c>
      <c r="J150" s="828">
        <f t="shared" si="150"/>
        <v>107580</v>
      </c>
      <c r="K150" s="828">
        <f t="shared" si="150"/>
        <v>0</v>
      </c>
      <c r="L150" s="828">
        <f t="shared" si="150"/>
        <v>45000</v>
      </c>
      <c r="M150" s="1389">
        <f t="shared" si="150"/>
        <v>0</v>
      </c>
      <c r="N150" s="849">
        <f t="shared" si="150"/>
        <v>107580</v>
      </c>
      <c r="O150" s="1277">
        <f t="shared" si="142"/>
        <v>70.507274872198195</v>
      </c>
      <c r="P150" s="827">
        <f>+P151+P153</f>
        <v>0</v>
      </c>
      <c r="Q150" s="1277">
        <f t="shared" si="143"/>
        <v>0</v>
      </c>
      <c r="R150" s="828">
        <f t="shared" si="144"/>
        <v>-11250</v>
      </c>
      <c r="S150" s="2951"/>
      <c r="T150" s="1302"/>
    </row>
    <row r="151" spans="1:20" ht="13.5" hidden="1" customHeight="1" x14ac:dyDescent="0.2">
      <c r="A151" s="2811"/>
      <c r="B151" s="904" t="s">
        <v>18</v>
      </c>
      <c r="C151" s="2825" t="s">
        <v>135</v>
      </c>
      <c r="D151" s="704">
        <f t="shared" ref="D151:G151" si="151">+D152</f>
        <v>0</v>
      </c>
      <c r="E151" s="705">
        <f t="shared" si="151"/>
        <v>0</v>
      </c>
      <c r="F151" s="705">
        <f t="shared" si="151"/>
        <v>0</v>
      </c>
      <c r="G151" s="705">
        <f t="shared" si="151"/>
        <v>0</v>
      </c>
      <c r="H151" s="810">
        <f>+H152</f>
        <v>0</v>
      </c>
      <c r="I151" s="704">
        <f t="shared" ref="I151:N151" si="152">+I152</f>
        <v>0</v>
      </c>
      <c r="J151" s="705">
        <f t="shared" si="152"/>
        <v>0</v>
      </c>
      <c r="K151" s="705">
        <f t="shared" si="152"/>
        <v>0</v>
      </c>
      <c r="L151" s="705">
        <f t="shared" si="152"/>
        <v>0</v>
      </c>
      <c r="M151" s="810">
        <f>+M152</f>
        <v>0</v>
      </c>
      <c r="N151" s="847">
        <f t="shared" si="152"/>
        <v>0</v>
      </c>
      <c r="O151" s="1259" t="e">
        <f t="shared" si="142"/>
        <v>#DIV/0!</v>
      </c>
      <c r="P151" s="706">
        <f>+P152</f>
        <v>0</v>
      </c>
      <c r="Q151" s="1259" t="e">
        <f t="shared" si="143"/>
        <v>#DIV/0!</v>
      </c>
      <c r="R151" s="705">
        <f t="shared" si="144"/>
        <v>0</v>
      </c>
      <c r="S151" s="2951"/>
      <c r="T151" s="1302"/>
    </row>
    <row r="152" spans="1:20" ht="13.5" hidden="1" customHeight="1" x14ac:dyDescent="0.2">
      <c r="A152" s="2811"/>
      <c r="B152" s="696" t="s">
        <v>8</v>
      </c>
      <c r="C152" s="2816"/>
      <c r="D152" s="697">
        <f>+E152+F152+G152+H152</f>
        <v>0</v>
      </c>
      <c r="E152" s="800"/>
      <c r="F152" s="800"/>
      <c r="G152" s="800">
        <v>0</v>
      </c>
      <c r="H152" s="810">
        <v>0</v>
      </c>
      <c r="I152" s="697">
        <f>+J152+K152+L152+M152</f>
        <v>0</v>
      </c>
      <c r="J152" s="800"/>
      <c r="K152" s="800"/>
      <c r="L152" s="800">
        <v>0</v>
      </c>
      <c r="M152" s="810">
        <v>0</v>
      </c>
      <c r="N152" s="1348">
        <f>P152+J152+K152</f>
        <v>0</v>
      </c>
      <c r="O152" s="1357" t="e">
        <f t="shared" si="142"/>
        <v>#DIV/0!</v>
      </c>
      <c r="P152" s="809">
        <v>0</v>
      </c>
      <c r="Q152" s="1357" t="e">
        <f t="shared" si="143"/>
        <v>#DIV/0!</v>
      </c>
      <c r="R152" s="800">
        <f t="shared" si="144"/>
        <v>0</v>
      </c>
      <c r="S152" s="2951"/>
      <c r="T152" s="1302"/>
    </row>
    <row r="153" spans="1:20" ht="12" customHeight="1" x14ac:dyDescent="0.2">
      <c r="A153" s="2811"/>
      <c r="B153" s="795" t="s">
        <v>13</v>
      </c>
      <c r="C153" s="2826"/>
      <c r="D153" s="704">
        <f t="shared" ref="D153:G153" si="153">+D154</f>
        <v>152580</v>
      </c>
      <c r="E153" s="705">
        <f t="shared" si="153"/>
        <v>107580</v>
      </c>
      <c r="F153" s="705">
        <f t="shared" si="153"/>
        <v>0</v>
      </c>
      <c r="G153" s="705">
        <f t="shared" si="153"/>
        <v>45000</v>
      </c>
      <c r="H153" s="810">
        <f>+H154</f>
        <v>0</v>
      </c>
      <c r="I153" s="704">
        <f t="shared" ref="I153:N153" si="154">+I154</f>
        <v>152580</v>
      </c>
      <c r="J153" s="705">
        <f t="shared" si="154"/>
        <v>107580</v>
      </c>
      <c r="K153" s="705">
        <f t="shared" si="154"/>
        <v>0</v>
      </c>
      <c r="L153" s="705">
        <f t="shared" si="154"/>
        <v>45000</v>
      </c>
      <c r="M153" s="810">
        <f>+M154</f>
        <v>0</v>
      </c>
      <c r="N153" s="847">
        <f t="shared" si="154"/>
        <v>107580</v>
      </c>
      <c r="O153" s="1259">
        <f t="shared" si="142"/>
        <v>70.507274872198195</v>
      </c>
      <c r="P153" s="706">
        <f>+P154</f>
        <v>0</v>
      </c>
      <c r="Q153" s="1259">
        <f t="shared" si="143"/>
        <v>0</v>
      </c>
      <c r="R153" s="705">
        <f t="shared" si="144"/>
        <v>-11250</v>
      </c>
      <c r="S153" s="2951"/>
      <c r="T153" s="1302"/>
    </row>
    <row r="154" spans="1:20" ht="13.5" customHeight="1" thickBot="1" x14ac:dyDescent="0.25">
      <c r="A154" s="2812"/>
      <c r="B154" s="717" t="s">
        <v>15</v>
      </c>
      <c r="C154" s="2827"/>
      <c r="D154" s="697">
        <f>+E154+F154+G154+H154</f>
        <v>152580</v>
      </c>
      <c r="E154" s="733">
        <f>61432+12734+33414</f>
        <v>107580</v>
      </c>
      <c r="F154" s="733">
        <v>0</v>
      </c>
      <c r="G154" s="733">
        <v>45000</v>
      </c>
      <c r="H154" s="736">
        <v>0</v>
      </c>
      <c r="I154" s="697">
        <f>+J154+K154+L154+M154</f>
        <v>152580</v>
      </c>
      <c r="J154" s="733">
        <f>61432+12734+33414</f>
        <v>107580</v>
      </c>
      <c r="K154" s="733">
        <v>0</v>
      </c>
      <c r="L154" s="733">
        <v>45000</v>
      </c>
      <c r="M154" s="736">
        <v>0</v>
      </c>
      <c r="N154" s="1348">
        <f>P154+J154+K154</f>
        <v>107580</v>
      </c>
      <c r="O154" s="1360">
        <f t="shared" si="142"/>
        <v>70.507274872198195</v>
      </c>
      <c r="P154" s="719">
        <v>0</v>
      </c>
      <c r="Q154" s="1360">
        <f t="shared" si="143"/>
        <v>0</v>
      </c>
      <c r="R154" s="733">
        <f t="shared" si="144"/>
        <v>-11250</v>
      </c>
      <c r="S154" s="2979"/>
      <c r="T154" s="1302"/>
    </row>
    <row r="155" spans="1:20" ht="45" customHeight="1" x14ac:dyDescent="0.2">
      <c r="A155" s="2809" t="s">
        <v>62</v>
      </c>
      <c r="B155" s="746" t="s">
        <v>150</v>
      </c>
      <c r="C155" s="676" t="s">
        <v>233</v>
      </c>
      <c r="D155" s="680"/>
      <c r="E155" s="678"/>
      <c r="F155" s="678"/>
      <c r="G155" s="678"/>
      <c r="H155" s="679"/>
      <c r="I155" s="680"/>
      <c r="J155" s="678"/>
      <c r="K155" s="678"/>
      <c r="L155" s="678"/>
      <c r="M155" s="679"/>
      <c r="N155" s="1355"/>
      <c r="O155" s="678"/>
      <c r="P155" s="678"/>
      <c r="Q155" s="678"/>
      <c r="R155" s="678"/>
      <c r="S155" s="2966" t="s">
        <v>151</v>
      </c>
      <c r="T155" s="1302"/>
    </row>
    <row r="156" spans="1:20" ht="13.5" customHeight="1" x14ac:dyDescent="0.2">
      <c r="A156" s="2810"/>
      <c r="B156" s="565" t="s">
        <v>3</v>
      </c>
      <c r="C156" s="566"/>
      <c r="D156" s="817">
        <f t="shared" ref="D156:H156" si="155">+D157+D160</f>
        <v>1301017</v>
      </c>
      <c r="E156" s="815">
        <f t="shared" si="155"/>
        <v>304733</v>
      </c>
      <c r="F156" s="815">
        <f t="shared" si="155"/>
        <v>312455</v>
      </c>
      <c r="G156" s="815">
        <f t="shared" si="155"/>
        <v>284841</v>
      </c>
      <c r="H156" s="816">
        <f t="shared" si="155"/>
        <v>398988</v>
      </c>
      <c r="I156" s="817">
        <f t="shared" ref="I156:N156" si="156">+I157+I160</f>
        <v>1238818.3999999999</v>
      </c>
      <c r="J156" s="815">
        <f t="shared" si="156"/>
        <v>304733</v>
      </c>
      <c r="K156" s="815">
        <f t="shared" si="156"/>
        <v>250256.4</v>
      </c>
      <c r="L156" s="815">
        <f t="shared" si="156"/>
        <v>284841</v>
      </c>
      <c r="M156" s="816">
        <f t="shared" si="156"/>
        <v>398988</v>
      </c>
      <c r="N156" s="817">
        <f t="shared" si="156"/>
        <v>554989.4</v>
      </c>
      <c r="O156" s="1277">
        <f t="shared" si="142"/>
        <v>42.658120531860845</v>
      </c>
      <c r="P156" s="815">
        <f>+P157+P160</f>
        <v>0</v>
      </c>
      <c r="Q156" s="1277">
        <f t="shared" si="143"/>
        <v>0</v>
      </c>
      <c r="R156" s="815">
        <f t="shared" si="118"/>
        <v>-71210.25</v>
      </c>
      <c r="S156" s="2949"/>
      <c r="T156" s="1302"/>
    </row>
    <row r="157" spans="1:20" ht="13.5" customHeight="1" x14ac:dyDescent="0.2">
      <c r="A157" s="2810"/>
      <c r="B157" s="819" t="s">
        <v>18</v>
      </c>
      <c r="C157" s="2771" t="s">
        <v>152</v>
      </c>
      <c r="D157" s="820">
        <f t="shared" ref="D157:H157" si="157">+D158+D159</f>
        <v>195153</v>
      </c>
      <c r="E157" s="821">
        <f t="shared" si="157"/>
        <v>45710</v>
      </c>
      <c r="F157" s="821">
        <f t="shared" si="157"/>
        <v>46868</v>
      </c>
      <c r="G157" s="821">
        <f t="shared" si="157"/>
        <v>42726</v>
      </c>
      <c r="H157" s="822">
        <f t="shared" si="157"/>
        <v>59849</v>
      </c>
      <c r="I157" s="820">
        <f t="shared" ref="I157:M157" si="158">+I158+I159</f>
        <v>185823.46</v>
      </c>
      <c r="J157" s="821">
        <f t="shared" si="158"/>
        <v>45710</v>
      </c>
      <c r="K157" s="821">
        <f t="shared" si="158"/>
        <v>37538.46</v>
      </c>
      <c r="L157" s="821">
        <f t="shared" si="158"/>
        <v>42726</v>
      </c>
      <c r="M157" s="822">
        <f t="shared" si="158"/>
        <v>59849</v>
      </c>
      <c r="N157" s="930">
        <f>P157+J157+K157</f>
        <v>83248.459999999992</v>
      </c>
      <c r="O157" s="1259">
        <f t="shared" si="142"/>
        <v>42.658047788145709</v>
      </c>
      <c r="P157" s="821">
        <f>+P158+P159</f>
        <v>0</v>
      </c>
      <c r="Q157" s="1259">
        <f t="shared" si="143"/>
        <v>0</v>
      </c>
      <c r="R157" s="821">
        <f t="shared" si="118"/>
        <v>-10681.5</v>
      </c>
      <c r="S157" s="2949"/>
      <c r="T157" s="1302"/>
    </row>
    <row r="158" spans="1:20" ht="13.5" hidden="1" customHeight="1" x14ac:dyDescent="0.2">
      <c r="A158" s="2810"/>
      <c r="B158" s="696" t="s">
        <v>5</v>
      </c>
      <c r="C158" s="2816"/>
      <c r="D158" s="697">
        <f>+E158+F158+G158+H158</f>
        <v>0</v>
      </c>
      <c r="E158" s="733"/>
      <c r="F158" s="733"/>
      <c r="G158" s="733"/>
      <c r="H158" s="824"/>
      <c r="I158" s="697">
        <f>+J158+K158+L158+M158</f>
        <v>0</v>
      </c>
      <c r="J158" s="733"/>
      <c r="K158" s="733"/>
      <c r="L158" s="733"/>
      <c r="M158" s="824"/>
      <c r="N158" s="848">
        <f t="shared" ref="N158:N165" si="159">P158+J158+K158</f>
        <v>0</v>
      </c>
      <c r="O158" s="492" t="e">
        <f t="shared" si="142"/>
        <v>#DIV/0!</v>
      </c>
      <c r="P158" s="492"/>
      <c r="Q158" s="492" t="e">
        <f t="shared" si="143"/>
        <v>#DIV/0!</v>
      </c>
      <c r="R158" s="733">
        <f t="shared" si="118"/>
        <v>0</v>
      </c>
      <c r="S158" s="2949"/>
      <c r="T158" s="1302"/>
    </row>
    <row r="159" spans="1:20" ht="13.5" customHeight="1" x14ac:dyDescent="0.2">
      <c r="A159" s="2810"/>
      <c r="B159" s="696" t="s">
        <v>8</v>
      </c>
      <c r="C159" s="2816"/>
      <c r="D159" s="697">
        <f>+E159+F159+G159+H159</f>
        <v>195153</v>
      </c>
      <c r="E159" s="733">
        <f>19739+25971</f>
        <v>45710</v>
      </c>
      <c r="F159" s="733">
        <v>46868</v>
      </c>
      <c r="G159" s="733">
        <v>42726</v>
      </c>
      <c r="H159" s="824">
        <f>45513+14336</f>
        <v>59849</v>
      </c>
      <c r="I159" s="697">
        <f>+J159+K159+L159+M159</f>
        <v>185823.46</v>
      </c>
      <c r="J159" s="733">
        <f>19739+25971</f>
        <v>45710</v>
      </c>
      <c r="K159" s="733">
        <v>37538.46</v>
      </c>
      <c r="L159" s="733">
        <v>42726</v>
      </c>
      <c r="M159" s="824">
        <f>45513+14336</f>
        <v>59849</v>
      </c>
      <c r="N159" s="848">
        <f t="shared" si="159"/>
        <v>83248.459999999992</v>
      </c>
      <c r="O159" s="1357">
        <f t="shared" si="142"/>
        <v>42.658047788145709</v>
      </c>
      <c r="P159" s="699"/>
      <c r="Q159" s="1357">
        <f t="shared" si="143"/>
        <v>0</v>
      </c>
      <c r="R159" s="733">
        <f t="shared" si="118"/>
        <v>-10681.5</v>
      </c>
      <c r="S159" s="2949"/>
      <c r="T159" s="1302"/>
    </row>
    <row r="160" spans="1:20" ht="12.75" customHeight="1" x14ac:dyDescent="0.2">
      <c r="A160" s="2810"/>
      <c r="B160" s="703" t="s">
        <v>13</v>
      </c>
      <c r="C160" s="2816"/>
      <c r="D160" s="704">
        <f t="shared" ref="D160:M160" si="160">+D161</f>
        <v>1105864</v>
      </c>
      <c r="E160" s="705">
        <f t="shared" si="160"/>
        <v>259023</v>
      </c>
      <c r="F160" s="705">
        <f t="shared" si="160"/>
        <v>265587</v>
      </c>
      <c r="G160" s="705">
        <f t="shared" si="160"/>
        <v>242115</v>
      </c>
      <c r="H160" s="825">
        <f t="shared" si="160"/>
        <v>339139</v>
      </c>
      <c r="I160" s="704">
        <f t="shared" si="160"/>
        <v>1052994.94</v>
      </c>
      <c r="J160" s="705">
        <f t="shared" si="160"/>
        <v>259023</v>
      </c>
      <c r="K160" s="705">
        <f t="shared" si="160"/>
        <v>212717.94</v>
      </c>
      <c r="L160" s="705">
        <f t="shared" si="160"/>
        <v>242115</v>
      </c>
      <c r="M160" s="825">
        <f t="shared" si="160"/>
        <v>339139</v>
      </c>
      <c r="N160" s="847">
        <f t="shared" si="159"/>
        <v>471740.94</v>
      </c>
      <c r="O160" s="1259">
        <f t="shared" si="142"/>
        <v>42.658133369021868</v>
      </c>
      <c r="P160" s="1390">
        <f>+P161</f>
        <v>0</v>
      </c>
      <c r="Q160" s="1259">
        <f t="shared" si="143"/>
        <v>0</v>
      </c>
      <c r="R160" s="705">
        <f t="shared" si="118"/>
        <v>-60528.75</v>
      </c>
      <c r="S160" s="2949"/>
      <c r="T160" s="1302"/>
    </row>
    <row r="161" spans="1:20" ht="13.5" customHeight="1" x14ac:dyDescent="0.2">
      <c r="A161" s="2810"/>
      <c r="B161" s="696" t="s">
        <v>15</v>
      </c>
      <c r="C161" s="2816"/>
      <c r="D161" s="697">
        <f>+E161+F161+G161+H161</f>
        <v>1105864</v>
      </c>
      <c r="E161" s="733">
        <f>162350-50496+147169</f>
        <v>259023</v>
      </c>
      <c r="F161" s="733">
        <v>265587</v>
      </c>
      <c r="G161" s="733">
        <v>242115</v>
      </c>
      <c r="H161" s="824">
        <f>257905+81234</f>
        <v>339139</v>
      </c>
      <c r="I161" s="697">
        <f>+J161+K161+L161+M161</f>
        <v>1052994.94</v>
      </c>
      <c r="J161" s="733">
        <f>162350-50496+147169</f>
        <v>259023</v>
      </c>
      <c r="K161" s="733">
        <v>212717.94</v>
      </c>
      <c r="L161" s="733">
        <v>242115</v>
      </c>
      <c r="M161" s="824">
        <f>257905+81234</f>
        <v>339139</v>
      </c>
      <c r="N161" s="848">
        <f t="shared" si="159"/>
        <v>471740.94</v>
      </c>
      <c r="O161" s="1357">
        <f t="shared" si="142"/>
        <v>42.658133369021868</v>
      </c>
      <c r="P161" s="699"/>
      <c r="Q161" s="1357">
        <f t="shared" si="143"/>
        <v>0</v>
      </c>
      <c r="R161" s="733">
        <f t="shared" si="118"/>
        <v>-60528.75</v>
      </c>
      <c r="S161" s="2949"/>
      <c r="T161" s="1302"/>
    </row>
    <row r="162" spans="1:20" ht="13.5" customHeight="1" x14ac:dyDescent="0.2">
      <c r="A162" s="2811"/>
      <c r="B162" s="565" t="s">
        <v>17</v>
      </c>
      <c r="C162" s="566"/>
      <c r="D162" s="826">
        <f t="shared" ref="D162:H162" si="161">+D163+D165</f>
        <v>1301017</v>
      </c>
      <c r="E162" s="828">
        <f t="shared" si="161"/>
        <v>302399</v>
      </c>
      <c r="F162" s="828">
        <f t="shared" si="161"/>
        <v>312455</v>
      </c>
      <c r="G162" s="828">
        <f t="shared" si="161"/>
        <v>284841</v>
      </c>
      <c r="H162" s="875">
        <f t="shared" si="161"/>
        <v>401322</v>
      </c>
      <c r="I162" s="826">
        <f t="shared" ref="I162:N162" si="162">+I163+I165</f>
        <v>1238818</v>
      </c>
      <c r="J162" s="828">
        <f t="shared" si="162"/>
        <v>302399</v>
      </c>
      <c r="K162" s="828">
        <f t="shared" si="162"/>
        <v>250256</v>
      </c>
      <c r="L162" s="828">
        <f t="shared" si="162"/>
        <v>284841</v>
      </c>
      <c r="M162" s="875">
        <f t="shared" si="162"/>
        <v>401322</v>
      </c>
      <c r="N162" s="826">
        <f t="shared" si="162"/>
        <v>552655</v>
      </c>
      <c r="O162" s="1277">
        <f t="shared" si="142"/>
        <v>42.478691669670724</v>
      </c>
      <c r="P162" s="828">
        <f>+P163+P165</f>
        <v>0</v>
      </c>
      <c r="Q162" s="1277">
        <f t="shared" si="143"/>
        <v>0</v>
      </c>
      <c r="R162" s="828">
        <f t="shared" si="118"/>
        <v>-71210.25</v>
      </c>
      <c r="S162" s="2951"/>
      <c r="T162" s="1302"/>
    </row>
    <row r="163" spans="1:20" ht="13.5" customHeight="1" x14ac:dyDescent="0.2">
      <c r="A163" s="2811"/>
      <c r="B163" s="819" t="s">
        <v>18</v>
      </c>
      <c r="C163" s="2825" t="s">
        <v>153</v>
      </c>
      <c r="D163" s="704">
        <f t="shared" ref="D163:M163" si="163">+D164</f>
        <v>195153</v>
      </c>
      <c r="E163" s="705">
        <f t="shared" si="163"/>
        <v>45360</v>
      </c>
      <c r="F163" s="705">
        <f t="shared" si="163"/>
        <v>46868</v>
      </c>
      <c r="G163" s="705">
        <f t="shared" si="163"/>
        <v>42726</v>
      </c>
      <c r="H163" s="825">
        <f t="shared" si="163"/>
        <v>60199</v>
      </c>
      <c r="I163" s="704">
        <f t="shared" si="163"/>
        <v>185823</v>
      </c>
      <c r="J163" s="705">
        <f t="shared" si="163"/>
        <v>45360</v>
      </c>
      <c r="K163" s="705">
        <f t="shared" si="163"/>
        <v>37538</v>
      </c>
      <c r="L163" s="705">
        <f t="shared" si="163"/>
        <v>42726</v>
      </c>
      <c r="M163" s="825">
        <f t="shared" si="163"/>
        <v>60199</v>
      </c>
      <c r="N163" s="847">
        <f t="shared" si="159"/>
        <v>82898</v>
      </c>
      <c r="O163" s="1259">
        <f t="shared" si="142"/>
        <v>42.478465614159141</v>
      </c>
      <c r="P163" s="705">
        <f>+P164</f>
        <v>0</v>
      </c>
      <c r="Q163" s="1259">
        <f t="shared" si="143"/>
        <v>0</v>
      </c>
      <c r="R163" s="705">
        <f t="shared" si="118"/>
        <v>-10681.5</v>
      </c>
      <c r="S163" s="2951"/>
      <c r="T163" s="1302"/>
    </row>
    <row r="164" spans="1:20" ht="13.5" customHeight="1" x14ac:dyDescent="0.2">
      <c r="A164" s="2811"/>
      <c r="B164" s="696" t="s">
        <v>8</v>
      </c>
      <c r="C164" s="2816"/>
      <c r="D164" s="697">
        <f>+E164+F164+G164+H164</f>
        <v>195153</v>
      </c>
      <c r="E164" s="733">
        <f>19739+25621</f>
        <v>45360</v>
      </c>
      <c r="F164" s="733">
        <v>46868</v>
      </c>
      <c r="G164" s="733">
        <v>42726</v>
      </c>
      <c r="H164" s="824">
        <f>45513+14686</f>
        <v>60199</v>
      </c>
      <c r="I164" s="697">
        <f>+J164+K164+L164+M164</f>
        <v>185823</v>
      </c>
      <c r="J164" s="733">
        <f>19739+25621</f>
        <v>45360</v>
      </c>
      <c r="K164" s="733">
        <v>37538</v>
      </c>
      <c r="L164" s="733">
        <v>42726</v>
      </c>
      <c r="M164" s="824">
        <f>45513+14686</f>
        <v>60199</v>
      </c>
      <c r="N164" s="1348">
        <f t="shared" si="159"/>
        <v>82898</v>
      </c>
      <c r="O164" s="1357">
        <f t="shared" si="142"/>
        <v>42.478465614159141</v>
      </c>
      <c r="P164" s="733"/>
      <c r="Q164" s="1357">
        <f t="shared" si="143"/>
        <v>0</v>
      </c>
      <c r="R164" s="733">
        <f t="shared" si="118"/>
        <v>-10681.5</v>
      </c>
      <c r="S164" s="2951"/>
      <c r="T164" s="1302"/>
    </row>
    <row r="165" spans="1:20" ht="12" customHeight="1" x14ac:dyDescent="0.2">
      <c r="A165" s="2811"/>
      <c r="B165" s="703" t="s">
        <v>13</v>
      </c>
      <c r="C165" s="2826"/>
      <c r="D165" s="704">
        <f t="shared" ref="D165:M165" si="164">+D166</f>
        <v>1105864</v>
      </c>
      <c r="E165" s="705">
        <f t="shared" si="164"/>
        <v>257039</v>
      </c>
      <c r="F165" s="705">
        <f t="shared" si="164"/>
        <v>265587</v>
      </c>
      <c r="G165" s="705">
        <f t="shared" si="164"/>
        <v>242115</v>
      </c>
      <c r="H165" s="825">
        <f t="shared" si="164"/>
        <v>341123</v>
      </c>
      <c r="I165" s="704">
        <f t="shared" si="164"/>
        <v>1052995</v>
      </c>
      <c r="J165" s="705">
        <f t="shared" si="164"/>
        <v>257039</v>
      </c>
      <c r="K165" s="705">
        <f t="shared" si="164"/>
        <v>212718</v>
      </c>
      <c r="L165" s="705">
        <f t="shared" si="164"/>
        <v>242115</v>
      </c>
      <c r="M165" s="825">
        <f t="shared" si="164"/>
        <v>341123</v>
      </c>
      <c r="N165" s="847">
        <f t="shared" si="159"/>
        <v>469757</v>
      </c>
      <c r="O165" s="1259">
        <f t="shared" si="142"/>
        <v>42.478731561928051</v>
      </c>
      <c r="P165" s="705">
        <f>+P166</f>
        <v>0</v>
      </c>
      <c r="Q165" s="1259">
        <f t="shared" si="143"/>
        <v>0</v>
      </c>
      <c r="R165" s="705">
        <f t="shared" si="118"/>
        <v>-60528.75</v>
      </c>
      <c r="S165" s="2951"/>
      <c r="T165" s="1302"/>
    </row>
    <row r="166" spans="1:20" ht="13.5" thickBot="1" x14ac:dyDescent="0.25">
      <c r="A166" s="2812"/>
      <c r="B166" s="717" t="s">
        <v>15</v>
      </c>
      <c r="C166" s="2827"/>
      <c r="D166" s="718">
        <f>+E166+F166+G166+H166</f>
        <v>1105864</v>
      </c>
      <c r="E166" s="786">
        <f>111854+145185</f>
        <v>257039</v>
      </c>
      <c r="F166" s="786">
        <v>265587</v>
      </c>
      <c r="G166" s="786">
        <v>242115</v>
      </c>
      <c r="H166" s="1384">
        <f>257905+83218</f>
        <v>341123</v>
      </c>
      <c r="I166" s="718">
        <f>+J166+K166+L166+M166</f>
        <v>1052995</v>
      </c>
      <c r="J166" s="786">
        <f>111854+145185</f>
        <v>257039</v>
      </c>
      <c r="K166" s="786">
        <v>212718</v>
      </c>
      <c r="L166" s="786">
        <v>242115</v>
      </c>
      <c r="M166" s="1384">
        <f>257905+83218</f>
        <v>341123</v>
      </c>
      <c r="N166" s="1359">
        <f>P166+J166+K166</f>
        <v>469757</v>
      </c>
      <c r="O166" s="1360">
        <f t="shared" si="142"/>
        <v>42.478731561928051</v>
      </c>
      <c r="P166" s="786"/>
      <c r="Q166" s="1360">
        <f t="shared" si="143"/>
        <v>0</v>
      </c>
      <c r="R166" s="786">
        <f t="shared" si="118"/>
        <v>-60528.75</v>
      </c>
      <c r="S166" s="2979"/>
      <c r="T166" s="1302"/>
    </row>
    <row r="167" spans="1:20" ht="53.25" customHeight="1" x14ac:dyDescent="0.2">
      <c r="A167" s="2809" t="s">
        <v>64</v>
      </c>
      <c r="B167" s="746" t="s">
        <v>154</v>
      </c>
      <c r="C167" s="676" t="s">
        <v>233</v>
      </c>
      <c r="D167" s="1391"/>
      <c r="E167" s="678"/>
      <c r="F167" s="678"/>
      <c r="G167" s="678"/>
      <c r="H167" s="841"/>
      <c r="I167" s="1391"/>
      <c r="J167" s="678"/>
      <c r="K167" s="678"/>
      <c r="L167" s="678"/>
      <c r="M167" s="841"/>
      <c r="N167" s="680"/>
      <c r="O167" s="678"/>
      <c r="P167" s="678"/>
      <c r="Q167" s="678"/>
      <c r="R167" s="678"/>
      <c r="S167" s="2966" t="s">
        <v>151</v>
      </c>
      <c r="T167" s="1302"/>
    </row>
    <row r="168" spans="1:20" ht="13.5" customHeight="1" x14ac:dyDescent="0.2">
      <c r="A168" s="2810"/>
      <c r="B168" s="565" t="s">
        <v>3</v>
      </c>
      <c r="C168" s="566"/>
      <c r="D168" s="933">
        <f t="shared" ref="D168:H168" si="165">+D169+D172</f>
        <v>4973000</v>
      </c>
      <c r="E168" s="828">
        <f t="shared" si="165"/>
        <v>0</v>
      </c>
      <c r="F168" s="828">
        <f t="shared" si="165"/>
        <v>1973000</v>
      </c>
      <c r="G168" s="828">
        <f t="shared" si="165"/>
        <v>1500000</v>
      </c>
      <c r="H168" s="1209">
        <f t="shared" si="165"/>
        <v>1500000</v>
      </c>
      <c r="I168" s="933">
        <f t="shared" ref="I168:M168" si="166">+I169+I172</f>
        <v>4460883</v>
      </c>
      <c r="J168" s="828">
        <f t="shared" si="166"/>
        <v>0</v>
      </c>
      <c r="K168" s="828">
        <f t="shared" ref="K168" si="167">+K169+K172</f>
        <v>1460883</v>
      </c>
      <c r="L168" s="828">
        <f t="shared" si="166"/>
        <v>1500000</v>
      </c>
      <c r="M168" s="1209">
        <f t="shared" si="166"/>
        <v>1500000</v>
      </c>
      <c r="N168" s="826">
        <f>+N169+N172</f>
        <v>1460883</v>
      </c>
      <c r="O168" s="1277">
        <f t="shared" si="142"/>
        <v>29.37629197667404</v>
      </c>
      <c r="P168" s="849">
        <f>+P169+P172</f>
        <v>0</v>
      </c>
      <c r="Q168" s="1277">
        <f t="shared" si="143"/>
        <v>0</v>
      </c>
      <c r="R168" s="828">
        <f t="shared" si="118"/>
        <v>-375000</v>
      </c>
      <c r="S168" s="2949"/>
      <c r="T168" s="1302"/>
    </row>
    <row r="169" spans="1:20" ht="13.5" hidden="1" customHeight="1" x14ac:dyDescent="0.2">
      <c r="A169" s="2810"/>
      <c r="B169" s="819" t="s">
        <v>18</v>
      </c>
      <c r="C169" s="2771" t="s">
        <v>152</v>
      </c>
      <c r="D169" s="1392">
        <f t="shared" ref="D169:H169" si="168">+D170+D171</f>
        <v>0</v>
      </c>
      <c r="E169" s="705">
        <f t="shared" si="168"/>
        <v>0</v>
      </c>
      <c r="F169" s="705">
        <f t="shared" si="168"/>
        <v>0</v>
      </c>
      <c r="G169" s="705">
        <f t="shared" si="168"/>
        <v>0</v>
      </c>
      <c r="H169" s="1393">
        <f t="shared" si="168"/>
        <v>0</v>
      </c>
      <c r="I169" s="1392">
        <f t="shared" ref="I169:M169" si="169">+I170+I171</f>
        <v>0</v>
      </c>
      <c r="J169" s="705">
        <f t="shared" si="169"/>
        <v>0</v>
      </c>
      <c r="K169" s="705">
        <f t="shared" ref="K169" si="170">+K170+K171</f>
        <v>0</v>
      </c>
      <c r="L169" s="705">
        <f t="shared" si="169"/>
        <v>0</v>
      </c>
      <c r="M169" s="1393">
        <f t="shared" si="169"/>
        <v>0</v>
      </c>
      <c r="N169" s="704">
        <f>+N171</f>
        <v>0</v>
      </c>
      <c r="O169" s="1394" t="e">
        <f t="shared" si="142"/>
        <v>#DIV/0!</v>
      </c>
      <c r="P169" s="847">
        <f>+P170+P171</f>
        <v>0</v>
      </c>
      <c r="Q169" s="1394" t="e">
        <f t="shared" si="143"/>
        <v>#DIV/0!</v>
      </c>
      <c r="R169" s="705">
        <f t="shared" si="118"/>
        <v>0</v>
      </c>
      <c r="S169" s="2949"/>
      <c r="T169" s="1302"/>
    </row>
    <row r="170" spans="1:20" ht="13.5" hidden="1" customHeight="1" x14ac:dyDescent="0.2">
      <c r="A170" s="2810"/>
      <c r="B170" s="696" t="s">
        <v>5</v>
      </c>
      <c r="C170" s="2816"/>
      <c r="D170" s="1231">
        <f>+E170+F170+G170+H170</f>
        <v>0</v>
      </c>
      <c r="E170" s="800"/>
      <c r="F170" s="800"/>
      <c r="G170" s="800"/>
      <c r="H170" s="1395"/>
      <c r="I170" s="1231">
        <f>+J170+K170+L170+M170</f>
        <v>0</v>
      </c>
      <c r="J170" s="800"/>
      <c r="K170" s="800"/>
      <c r="L170" s="800"/>
      <c r="M170" s="1395"/>
      <c r="N170" s="697">
        <f>P170+J170+K170</f>
        <v>0</v>
      </c>
      <c r="O170" s="1394" t="e">
        <f t="shared" si="142"/>
        <v>#DIV/0!</v>
      </c>
      <c r="P170" s="1348"/>
      <c r="Q170" s="1394" t="e">
        <f t="shared" si="143"/>
        <v>#DIV/0!</v>
      </c>
      <c r="R170" s="800">
        <f t="shared" si="118"/>
        <v>0</v>
      </c>
      <c r="S170" s="2949"/>
      <c r="T170" s="1302"/>
    </row>
    <row r="171" spans="1:20" ht="13.5" hidden="1" customHeight="1" x14ac:dyDescent="0.2">
      <c r="A171" s="2810"/>
      <c r="B171" s="696" t="s">
        <v>8</v>
      </c>
      <c r="C171" s="2816"/>
      <c r="D171" s="933">
        <f>+E171+F171+G171+H171</f>
        <v>0</v>
      </c>
      <c r="E171" s="828">
        <v>0</v>
      </c>
      <c r="F171" s="828">
        <v>0</v>
      </c>
      <c r="G171" s="828">
        <v>0</v>
      </c>
      <c r="H171" s="1209">
        <v>0</v>
      </c>
      <c r="I171" s="933">
        <f>+J171+K171+L171+M171</f>
        <v>0</v>
      </c>
      <c r="J171" s="828">
        <v>0</v>
      </c>
      <c r="K171" s="828">
        <v>0</v>
      </c>
      <c r="L171" s="828">
        <v>0</v>
      </c>
      <c r="M171" s="1209">
        <v>0</v>
      </c>
      <c r="N171" s="826">
        <v>0</v>
      </c>
      <c r="O171" s="1394" t="e">
        <f t="shared" si="142"/>
        <v>#DIV/0!</v>
      </c>
      <c r="P171" s="849">
        <v>0</v>
      </c>
      <c r="Q171" s="1394" t="e">
        <f t="shared" si="143"/>
        <v>#DIV/0!</v>
      </c>
      <c r="R171" s="828">
        <f t="shared" si="118"/>
        <v>0</v>
      </c>
      <c r="S171" s="2949"/>
      <c r="T171" s="1302"/>
    </row>
    <row r="172" spans="1:20" ht="12.75" customHeight="1" x14ac:dyDescent="0.2">
      <c r="A172" s="2810"/>
      <c r="B172" s="703" t="s">
        <v>13</v>
      </c>
      <c r="C172" s="2816"/>
      <c r="D172" s="1392">
        <f t="shared" ref="D172:M172" si="171">+D173</f>
        <v>4973000</v>
      </c>
      <c r="E172" s="705">
        <f t="shared" si="171"/>
        <v>0</v>
      </c>
      <c r="F172" s="705">
        <f t="shared" si="171"/>
        <v>1973000</v>
      </c>
      <c r="G172" s="705">
        <f t="shared" si="171"/>
        <v>1500000</v>
      </c>
      <c r="H172" s="1393">
        <f t="shared" si="171"/>
        <v>1500000</v>
      </c>
      <c r="I172" s="1392">
        <f t="shared" si="171"/>
        <v>4460883</v>
      </c>
      <c r="J172" s="705">
        <f t="shared" si="171"/>
        <v>0</v>
      </c>
      <c r="K172" s="705">
        <f t="shared" si="171"/>
        <v>1460883</v>
      </c>
      <c r="L172" s="705">
        <f t="shared" si="171"/>
        <v>1500000</v>
      </c>
      <c r="M172" s="1393">
        <f t="shared" si="171"/>
        <v>1500000</v>
      </c>
      <c r="N172" s="704">
        <f>+N173</f>
        <v>1460883</v>
      </c>
      <c r="O172" s="1259">
        <f t="shared" si="142"/>
        <v>29.37629197667404</v>
      </c>
      <c r="P172" s="847">
        <f>+P173</f>
        <v>0</v>
      </c>
      <c r="Q172" s="1259">
        <f t="shared" si="143"/>
        <v>0</v>
      </c>
      <c r="R172" s="705">
        <f t="shared" si="118"/>
        <v>-375000</v>
      </c>
      <c r="S172" s="2949"/>
      <c r="T172" s="1302"/>
    </row>
    <row r="173" spans="1:20" ht="13.5" customHeight="1" x14ac:dyDescent="0.2">
      <c r="A173" s="2810"/>
      <c r="B173" s="696" t="s">
        <v>15</v>
      </c>
      <c r="C173" s="2816"/>
      <c r="D173" s="1231">
        <f>+E173+F173+G173+H173</f>
        <v>4973000</v>
      </c>
      <c r="E173" s="800">
        <v>0</v>
      </c>
      <c r="F173" s="800">
        <v>1973000</v>
      </c>
      <c r="G173" s="800">
        <v>1500000</v>
      </c>
      <c r="H173" s="1395">
        <v>1500000</v>
      </c>
      <c r="I173" s="1231">
        <f>+J173+K173+L173+M173</f>
        <v>4460883</v>
      </c>
      <c r="J173" s="800">
        <v>0</v>
      </c>
      <c r="K173" s="800">
        <v>1460883</v>
      </c>
      <c r="L173" s="800">
        <v>1500000</v>
      </c>
      <c r="M173" s="1395">
        <v>1500000</v>
      </c>
      <c r="N173" s="697">
        <f t="shared" ref="N173:N178" si="172">P173+J173+K173</f>
        <v>1460883</v>
      </c>
      <c r="O173" s="1357">
        <f t="shared" si="142"/>
        <v>29.37629197667404</v>
      </c>
      <c r="P173" s="1348">
        <v>0</v>
      </c>
      <c r="Q173" s="1357">
        <f t="shared" si="143"/>
        <v>0</v>
      </c>
      <c r="R173" s="800">
        <f t="shared" si="118"/>
        <v>-375000</v>
      </c>
      <c r="S173" s="2949"/>
      <c r="T173" s="1302"/>
    </row>
    <row r="174" spans="1:20" ht="13.5" customHeight="1" x14ac:dyDescent="0.2">
      <c r="A174" s="2811"/>
      <c r="B174" s="565" t="s">
        <v>17</v>
      </c>
      <c r="C174" s="566"/>
      <c r="D174" s="826">
        <f t="shared" ref="D174:H174" si="173">+D175+D177</f>
        <v>4973000</v>
      </c>
      <c r="E174" s="827">
        <f t="shared" si="173"/>
        <v>0</v>
      </c>
      <c r="F174" s="828">
        <f t="shared" si="173"/>
        <v>1973000</v>
      </c>
      <c r="G174" s="828">
        <f t="shared" si="173"/>
        <v>1500000</v>
      </c>
      <c r="H174" s="1209">
        <f t="shared" si="173"/>
        <v>1500000</v>
      </c>
      <c r="I174" s="826">
        <f t="shared" ref="I174:M174" si="174">+I175+I177</f>
        <v>4440142</v>
      </c>
      <c r="J174" s="827">
        <f t="shared" si="174"/>
        <v>0</v>
      </c>
      <c r="K174" s="828">
        <f t="shared" ref="K174" si="175">+K175+K177</f>
        <v>1440142</v>
      </c>
      <c r="L174" s="828">
        <f t="shared" si="174"/>
        <v>1500000</v>
      </c>
      <c r="M174" s="1209">
        <f t="shared" si="174"/>
        <v>1500000</v>
      </c>
      <c r="N174" s="826">
        <f t="shared" si="172"/>
        <v>1440142</v>
      </c>
      <c r="O174" s="1277">
        <f t="shared" si="142"/>
        <v>28.959219786848983</v>
      </c>
      <c r="P174" s="849">
        <f>+P175+P177</f>
        <v>0</v>
      </c>
      <c r="Q174" s="1277">
        <f t="shared" si="143"/>
        <v>0</v>
      </c>
      <c r="R174" s="828">
        <f t="shared" si="118"/>
        <v>-375000</v>
      </c>
      <c r="S174" s="2951"/>
      <c r="T174" s="1302"/>
    </row>
    <row r="175" spans="1:20" ht="13.5" hidden="1" customHeight="1" x14ac:dyDescent="0.2">
      <c r="A175" s="2811"/>
      <c r="B175" s="819" t="s">
        <v>18</v>
      </c>
      <c r="C175" s="2825" t="s">
        <v>153</v>
      </c>
      <c r="D175" s="1396">
        <f t="shared" ref="D175:M175" si="176">+D176</f>
        <v>0</v>
      </c>
      <c r="E175" s="706">
        <f t="shared" si="176"/>
        <v>0</v>
      </c>
      <c r="F175" s="1394">
        <f t="shared" si="176"/>
        <v>0</v>
      </c>
      <c r="G175" s="1394">
        <f t="shared" si="176"/>
        <v>0</v>
      </c>
      <c r="H175" s="492">
        <f t="shared" si="176"/>
        <v>0</v>
      </c>
      <c r="I175" s="1396">
        <f t="shared" si="176"/>
        <v>0</v>
      </c>
      <c r="J175" s="706">
        <f t="shared" si="176"/>
        <v>0</v>
      </c>
      <c r="K175" s="1394">
        <f t="shared" si="176"/>
        <v>0</v>
      </c>
      <c r="L175" s="1394">
        <f t="shared" si="176"/>
        <v>0</v>
      </c>
      <c r="M175" s="492">
        <f t="shared" si="176"/>
        <v>0</v>
      </c>
      <c r="N175" s="1396">
        <f t="shared" si="172"/>
        <v>0</v>
      </c>
      <c r="O175" s="1394" t="e">
        <f t="shared" si="142"/>
        <v>#DIV/0!</v>
      </c>
      <c r="P175" s="1397">
        <f>+P176</f>
        <v>0</v>
      </c>
      <c r="Q175" s="1394" t="e">
        <f t="shared" si="143"/>
        <v>#DIV/0!</v>
      </c>
      <c r="R175" s="1394">
        <f t="shared" si="118"/>
        <v>0</v>
      </c>
      <c r="S175" s="2951"/>
      <c r="T175" s="1302"/>
    </row>
    <row r="176" spans="1:20" ht="13.5" hidden="1" customHeight="1" x14ac:dyDescent="0.2">
      <c r="A176" s="2811"/>
      <c r="B176" s="696" t="s">
        <v>8</v>
      </c>
      <c r="C176" s="2816"/>
      <c r="D176" s="1396">
        <f>+E176+F176+G176+H176</f>
        <v>0</v>
      </c>
      <c r="E176" s="735"/>
      <c r="F176" s="1394"/>
      <c r="G176" s="1394"/>
      <c r="H176" s="492">
        <v>0</v>
      </c>
      <c r="I176" s="1396">
        <f>+J176+K176+L176+M176</f>
        <v>0</v>
      </c>
      <c r="J176" s="735"/>
      <c r="K176" s="1394"/>
      <c r="L176" s="1394"/>
      <c r="M176" s="492">
        <v>0</v>
      </c>
      <c r="N176" s="1396">
        <f t="shared" si="172"/>
        <v>0</v>
      </c>
      <c r="O176" s="1394" t="e">
        <f t="shared" si="142"/>
        <v>#DIV/0!</v>
      </c>
      <c r="P176" s="1397">
        <v>0</v>
      </c>
      <c r="Q176" s="1394" t="e">
        <f t="shared" si="143"/>
        <v>#DIV/0!</v>
      </c>
      <c r="R176" s="1394">
        <f t="shared" si="118"/>
        <v>0</v>
      </c>
      <c r="S176" s="2951"/>
      <c r="T176" s="1302"/>
    </row>
    <row r="177" spans="1:20" ht="12" customHeight="1" x14ac:dyDescent="0.2">
      <c r="A177" s="2811"/>
      <c r="B177" s="703" t="s">
        <v>13</v>
      </c>
      <c r="C177" s="2826"/>
      <c r="D177" s="704">
        <f t="shared" ref="D177:M177" si="177">+D178</f>
        <v>4973000</v>
      </c>
      <c r="E177" s="706">
        <f t="shared" si="177"/>
        <v>0</v>
      </c>
      <c r="F177" s="705">
        <f t="shared" si="177"/>
        <v>1973000</v>
      </c>
      <c r="G177" s="705">
        <f t="shared" si="177"/>
        <v>1500000</v>
      </c>
      <c r="H177" s="1393">
        <f t="shared" si="177"/>
        <v>1500000</v>
      </c>
      <c r="I177" s="704">
        <f t="shared" si="177"/>
        <v>4440142</v>
      </c>
      <c r="J177" s="706">
        <f t="shared" si="177"/>
        <v>0</v>
      </c>
      <c r="K177" s="705">
        <f t="shared" si="177"/>
        <v>1440142</v>
      </c>
      <c r="L177" s="705">
        <f t="shared" si="177"/>
        <v>1500000</v>
      </c>
      <c r="M177" s="1393">
        <f t="shared" si="177"/>
        <v>1500000</v>
      </c>
      <c r="N177" s="704">
        <f t="shared" si="172"/>
        <v>1440142</v>
      </c>
      <c r="O177" s="1259">
        <f t="shared" si="142"/>
        <v>28.959219786848983</v>
      </c>
      <c r="P177" s="847">
        <f>+P178</f>
        <v>0</v>
      </c>
      <c r="Q177" s="1259">
        <f t="shared" si="143"/>
        <v>0</v>
      </c>
      <c r="R177" s="705">
        <f t="shared" si="118"/>
        <v>-375000</v>
      </c>
      <c r="S177" s="2951"/>
      <c r="T177" s="1302"/>
    </row>
    <row r="178" spans="1:20" ht="11.25" customHeight="1" thickBot="1" x14ac:dyDescent="0.25">
      <c r="A178" s="2812"/>
      <c r="B178" s="717" t="s">
        <v>15</v>
      </c>
      <c r="C178" s="2827"/>
      <c r="D178" s="718">
        <f>+E178+F178+G178+H178</f>
        <v>4973000</v>
      </c>
      <c r="E178" s="786"/>
      <c r="F178" s="805">
        <v>1973000</v>
      </c>
      <c r="G178" s="805">
        <v>1500000</v>
      </c>
      <c r="H178" s="1398">
        <v>1500000</v>
      </c>
      <c r="I178" s="718">
        <f>+J178+K178+L178+M178</f>
        <v>4440142</v>
      </c>
      <c r="J178" s="786"/>
      <c r="K178" s="805">
        <v>1440142</v>
      </c>
      <c r="L178" s="805">
        <v>1500000</v>
      </c>
      <c r="M178" s="1398">
        <v>1500000</v>
      </c>
      <c r="N178" s="718">
        <f t="shared" si="172"/>
        <v>1440142</v>
      </c>
      <c r="O178" s="1360">
        <f t="shared" si="142"/>
        <v>28.959219786848983</v>
      </c>
      <c r="P178" s="1399">
        <v>0</v>
      </c>
      <c r="Q178" s="1360">
        <f t="shared" si="143"/>
        <v>0</v>
      </c>
      <c r="R178" s="805">
        <f t="shared" si="118"/>
        <v>-375000</v>
      </c>
      <c r="S178" s="2979"/>
      <c r="T178" s="1302"/>
    </row>
    <row r="179" spans="1:20" ht="24.75" customHeight="1" x14ac:dyDescent="0.2">
      <c r="A179" s="2809" t="s">
        <v>65</v>
      </c>
      <c r="B179" s="746" t="s">
        <v>155</v>
      </c>
      <c r="C179" s="676" t="s">
        <v>233</v>
      </c>
      <c r="D179" s="680"/>
      <c r="E179" s="678"/>
      <c r="F179" s="841"/>
      <c r="G179" s="678"/>
      <c r="H179" s="1400"/>
      <c r="I179" s="680"/>
      <c r="J179" s="678"/>
      <c r="K179" s="841"/>
      <c r="L179" s="678"/>
      <c r="M179" s="1400"/>
      <c r="N179" s="680"/>
      <c r="O179" s="678"/>
      <c r="P179" s="678"/>
      <c r="Q179" s="678"/>
      <c r="R179" s="678"/>
      <c r="S179" s="2966" t="s">
        <v>151</v>
      </c>
      <c r="T179" s="1302"/>
    </row>
    <row r="180" spans="1:20" ht="13.5" customHeight="1" x14ac:dyDescent="0.2">
      <c r="A180" s="2810"/>
      <c r="B180" s="565" t="s">
        <v>3</v>
      </c>
      <c r="C180" s="566"/>
      <c r="D180" s="826">
        <f t="shared" ref="D180:H180" si="178">+D181+D184</f>
        <v>919301</v>
      </c>
      <c r="E180" s="851">
        <f t="shared" si="178"/>
        <v>0</v>
      </c>
      <c r="F180" s="828">
        <f t="shared" si="178"/>
        <v>219301</v>
      </c>
      <c r="G180" s="828">
        <f t="shared" si="178"/>
        <v>450000</v>
      </c>
      <c r="H180" s="1209">
        <f t="shared" si="178"/>
        <v>250000</v>
      </c>
      <c r="I180" s="826">
        <f t="shared" ref="I180:N180" si="179">+I181+I184</f>
        <v>919300</v>
      </c>
      <c r="J180" s="851">
        <f t="shared" si="179"/>
        <v>0</v>
      </c>
      <c r="K180" s="828">
        <f t="shared" ref="K180" si="180">+K181+K184</f>
        <v>219300</v>
      </c>
      <c r="L180" s="828">
        <f t="shared" si="179"/>
        <v>450000</v>
      </c>
      <c r="M180" s="1209">
        <f t="shared" si="179"/>
        <v>250000</v>
      </c>
      <c r="N180" s="826">
        <f t="shared" si="179"/>
        <v>219300</v>
      </c>
      <c r="O180" s="1277">
        <f t="shared" si="142"/>
        <v>23.855081197562061</v>
      </c>
      <c r="P180" s="828">
        <f>+P181+P184</f>
        <v>0</v>
      </c>
      <c r="Q180" s="1277">
        <f t="shared" si="143"/>
        <v>0</v>
      </c>
      <c r="R180" s="828">
        <f t="shared" si="118"/>
        <v>-112500</v>
      </c>
      <c r="S180" s="2949"/>
      <c r="T180" s="1302"/>
    </row>
    <row r="181" spans="1:20" ht="13.5" hidden="1" customHeight="1" x14ac:dyDescent="0.2">
      <c r="A181" s="2810"/>
      <c r="B181" s="819" t="s">
        <v>18</v>
      </c>
      <c r="C181" s="2771" t="s">
        <v>152</v>
      </c>
      <c r="D181" s="492">
        <f t="shared" ref="D181:H181" si="181">+D182+D183</f>
        <v>0</v>
      </c>
      <c r="E181" s="853">
        <f t="shared" si="181"/>
        <v>0</v>
      </c>
      <c r="F181" s="1394">
        <f t="shared" si="181"/>
        <v>0</v>
      </c>
      <c r="G181" s="1394">
        <f t="shared" si="181"/>
        <v>0</v>
      </c>
      <c r="H181" s="492">
        <f t="shared" si="181"/>
        <v>0</v>
      </c>
      <c r="I181" s="492">
        <f t="shared" ref="I181:M181" si="182">+I182+I183</f>
        <v>0</v>
      </c>
      <c r="J181" s="853">
        <f t="shared" si="182"/>
        <v>0</v>
      </c>
      <c r="K181" s="1394">
        <f t="shared" ref="K181" si="183">+K182+K183</f>
        <v>0</v>
      </c>
      <c r="L181" s="1394">
        <f t="shared" si="182"/>
        <v>0</v>
      </c>
      <c r="M181" s="492">
        <f t="shared" si="182"/>
        <v>0</v>
      </c>
      <c r="N181" s="1396">
        <f>+N183</f>
        <v>0</v>
      </c>
      <c r="O181" s="1394" t="e">
        <f t="shared" si="142"/>
        <v>#DIV/0!</v>
      </c>
      <c r="P181" s="1394">
        <f>+P182+P183</f>
        <v>0</v>
      </c>
      <c r="Q181" s="1394" t="e">
        <f t="shared" si="143"/>
        <v>#DIV/0!</v>
      </c>
      <c r="R181" s="1394">
        <f t="shared" si="118"/>
        <v>0</v>
      </c>
      <c r="S181" s="2949"/>
      <c r="T181" s="1302"/>
    </row>
    <row r="182" spans="1:20" ht="13.5" hidden="1" customHeight="1" x14ac:dyDescent="0.2">
      <c r="A182" s="2810"/>
      <c r="B182" s="696" t="s">
        <v>5</v>
      </c>
      <c r="C182" s="2816"/>
      <c r="D182" s="492">
        <f>+E182+F182+G182+H182</f>
        <v>0</v>
      </c>
      <c r="E182" s="735"/>
      <c r="F182" s="1394"/>
      <c r="G182" s="1394"/>
      <c r="H182" s="492"/>
      <c r="I182" s="492">
        <f>+J182+K182+L182+M182</f>
        <v>0</v>
      </c>
      <c r="J182" s="735"/>
      <c r="K182" s="1394"/>
      <c r="L182" s="1394"/>
      <c r="M182" s="492"/>
      <c r="N182" s="1396">
        <f>P182+J182+K182</f>
        <v>0</v>
      </c>
      <c r="O182" s="1394" t="e">
        <f t="shared" si="142"/>
        <v>#DIV/0!</v>
      </c>
      <c r="P182" s="1394"/>
      <c r="Q182" s="1394" t="e">
        <f t="shared" si="143"/>
        <v>#DIV/0!</v>
      </c>
      <c r="R182" s="1394">
        <f t="shared" si="118"/>
        <v>0</v>
      </c>
      <c r="S182" s="2949"/>
      <c r="T182" s="1302"/>
    </row>
    <row r="183" spans="1:20" ht="13.5" hidden="1" customHeight="1" x14ac:dyDescent="0.2">
      <c r="A183" s="2810"/>
      <c r="B183" s="696" t="s">
        <v>8</v>
      </c>
      <c r="C183" s="2816"/>
      <c r="D183" s="492">
        <f>+E183+F183+G183+H183</f>
        <v>0</v>
      </c>
      <c r="E183" s="735">
        <v>0</v>
      </c>
      <c r="F183" s="1394">
        <v>0</v>
      </c>
      <c r="G183" s="1394">
        <v>0</v>
      </c>
      <c r="H183" s="492">
        <v>0</v>
      </c>
      <c r="I183" s="492">
        <f>+J183+K183+L183+M183</f>
        <v>0</v>
      </c>
      <c r="J183" s="735">
        <v>0</v>
      </c>
      <c r="K183" s="1394">
        <v>0</v>
      </c>
      <c r="L183" s="1394">
        <v>0</v>
      </c>
      <c r="M183" s="492">
        <v>0</v>
      </c>
      <c r="N183" s="1396">
        <v>0</v>
      </c>
      <c r="O183" s="1394" t="e">
        <f t="shared" si="142"/>
        <v>#DIV/0!</v>
      </c>
      <c r="P183" s="1394">
        <v>0</v>
      </c>
      <c r="Q183" s="1394" t="e">
        <f t="shared" si="143"/>
        <v>#DIV/0!</v>
      </c>
      <c r="R183" s="1394">
        <f t="shared" si="118"/>
        <v>0</v>
      </c>
      <c r="S183" s="2949"/>
      <c r="T183" s="1302"/>
    </row>
    <row r="184" spans="1:20" x14ac:dyDescent="0.2">
      <c r="A184" s="2810"/>
      <c r="B184" s="703" t="s">
        <v>13</v>
      </c>
      <c r="C184" s="2816"/>
      <c r="D184" s="704">
        <f t="shared" ref="D184:M184" si="184">+D185</f>
        <v>919301</v>
      </c>
      <c r="E184" s="706">
        <f t="shared" si="184"/>
        <v>0</v>
      </c>
      <c r="F184" s="705">
        <f t="shared" si="184"/>
        <v>219301</v>
      </c>
      <c r="G184" s="705">
        <f t="shared" si="184"/>
        <v>450000</v>
      </c>
      <c r="H184" s="1393">
        <f t="shared" si="184"/>
        <v>250000</v>
      </c>
      <c r="I184" s="704">
        <f t="shared" si="184"/>
        <v>919300</v>
      </c>
      <c r="J184" s="706">
        <f t="shared" si="184"/>
        <v>0</v>
      </c>
      <c r="K184" s="705">
        <f t="shared" si="184"/>
        <v>219300</v>
      </c>
      <c r="L184" s="705">
        <f t="shared" si="184"/>
        <v>450000</v>
      </c>
      <c r="M184" s="1393">
        <f t="shared" si="184"/>
        <v>250000</v>
      </c>
      <c r="N184" s="704">
        <f>+N185</f>
        <v>219300</v>
      </c>
      <c r="O184" s="1259">
        <f t="shared" si="142"/>
        <v>23.855081197562061</v>
      </c>
      <c r="P184" s="705">
        <f>+P185</f>
        <v>0</v>
      </c>
      <c r="Q184" s="1259">
        <f t="shared" si="143"/>
        <v>0</v>
      </c>
      <c r="R184" s="705">
        <f t="shared" si="118"/>
        <v>-112500</v>
      </c>
      <c r="S184" s="2949"/>
      <c r="T184" s="1302"/>
    </row>
    <row r="185" spans="1:20" x14ac:dyDescent="0.2">
      <c r="A185" s="2810"/>
      <c r="B185" s="696" t="s">
        <v>15</v>
      </c>
      <c r="C185" s="2816"/>
      <c r="D185" s="697">
        <f>+E185+F185+G185+H185</f>
        <v>919301</v>
      </c>
      <c r="E185" s="735">
        <v>0</v>
      </c>
      <c r="F185" s="800">
        <v>219301</v>
      </c>
      <c r="G185" s="800">
        <v>450000</v>
      </c>
      <c r="H185" s="1395">
        <v>250000</v>
      </c>
      <c r="I185" s="697">
        <f>+J185+K185+L185+M185</f>
        <v>919300</v>
      </c>
      <c r="J185" s="735">
        <v>0</v>
      </c>
      <c r="K185" s="800">
        <v>219300</v>
      </c>
      <c r="L185" s="800">
        <v>450000</v>
      </c>
      <c r="M185" s="1395">
        <v>250000</v>
      </c>
      <c r="N185" s="697">
        <f t="shared" ref="N185:N190" si="185">P185+J185+K185</f>
        <v>219300</v>
      </c>
      <c r="O185" s="1357">
        <f t="shared" si="142"/>
        <v>23.855081197562061</v>
      </c>
      <c r="P185" s="800">
        <v>0</v>
      </c>
      <c r="Q185" s="1357">
        <f t="shared" si="143"/>
        <v>0</v>
      </c>
      <c r="R185" s="800">
        <f t="shared" si="118"/>
        <v>-112500</v>
      </c>
      <c r="S185" s="2949"/>
      <c r="T185" s="1302"/>
    </row>
    <row r="186" spans="1:20" ht="13.5" customHeight="1" x14ac:dyDescent="0.2">
      <c r="A186" s="2811"/>
      <c r="B186" s="565" t="s">
        <v>17</v>
      </c>
      <c r="C186" s="566"/>
      <c r="D186" s="826">
        <f t="shared" ref="D186:H186" si="186">+D187+D189</f>
        <v>919301</v>
      </c>
      <c r="E186" s="827">
        <f t="shared" si="186"/>
        <v>0</v>
      </c>
      <c r="F186" s="828">
        <f t="shared" si="186"/>
        <v>219301</v>
      </c>
      <c r="G186" s="828">
        <f t="shared" si="186"/>
        <v>450000</v>
      </c>
      <c r="H186" s="1209">
        <f t="shared" si="186"/>
        <v>250000</v>
      </c>
      <c r="I186" s="826">
        <f t="shared" ref="I186:M186" si="187">+I187+I189</f>
        <v>700000</v>
      </c>
      <c r="J186" s="827">
        <f t="shared" si="187"/>
        <v>0</v>
      </c>
      <c r="K186" s="828">
        <f t="shared" ref="K186" si="188">+K187+K189</f>
        <v>0</v>
      </c>
      <c r="L186" s="828">
        <f t="shared" si="187"/>
        <v>450000</v>
      </c>
      <c r="M186" s="1209">
        <f t="shared" si="187"/>
        <v>250000</v>
      </c>
      <c r="N186" s="826">
        <f t="shared" si="185"/>
        <v>0</v>
      </c>
      <c r="O186" s="1401">
        <f t="shared" si="142"/>
        <v>0</v>
      </c>
      <c r="P186" s="828">
        <f>+P187+P189</f>
        <v>0</v>
      </c>
      <c r="Q186" s="1401">
        <f t="shared" si="143"/>
        <v>0</v>
      </c>
      <c r="R186" s="828">
        <f t="shared" si="118"/>
        <v>-112500</v>
      </c>
      <c r="S186" s="2951"/>
      <c r="T186" s="1302"/>
    </row>
    <row r="187" spans="1:20" ht="13.5" hidden="1" customHeight="1" x14ac:dyDescent="0.2">
      <c r="A187" s="2811"/>
      <c r="B187" s="819" t="s">
        <v>18</v>
      </c>
      <c r="C187" s="2825" t="s">
        <v>153</v>
      </c>
      <c r="D187" s="492">
        <f t="shared" ref="D187:M187" si="189">+D188</f>
        <v>0</v>
      </c>
      <c r="E187" s="706">
        <f t="shared" si="189"/>
        <v>0</v>
      </c>
      <c r="F187" s="1394">
        <f t="shared" si="189"/>
        <v>0</v>
      </c>
      <c r="G187" s="1394">
        <f t="shared" si="189"/>
        <v>0</v>
      </c>
      <c r="H187" s="492">
        <f t="shared" si="189"/>
        <v>0</v>
      </c>
      <c r="I187" s="492">
        <f t="shared" si="189"/>
        <v>0</v>
      </c>
      <c r="J187" s="706">
        <f t="shared" si="189"/>
        <v>0</v>
      </c>
      <c r="K187" s="1394">
        <f t="shared" si="189"/>
        <v>0</v>
      </c>
      <c r="L187" s="1394">
        <f t="shared" si="189"/>
        <v>0</v>
      </c>
      <c r="M187" s="492">
        <f t="shared" si="189"/>
        <v>0</v>
      </c>
      <c r="N187" s="1396">
        <f t="shared" si="185"/>
        <v>0</v>
      </c>
      <c r="O187" s="1259" t="e">
        <f t="shared" si="142"/>
        <v>#DIV/0!</v>
      </c>
      <c r="P187" s="1394">
        <f>+P188</f>
        <v>0</v>
      </c>
      <c r="Q187" s="1259" t="e">
        <f t="shared" si="143"/>
        <v>#DIV/0!</v>
      </c>
      <c r="R187" s="1394">
        <f t="shared" si="118"/>
        <v>0</v>
      </c>
      <c r="S187" s="2951"/>
      <c r="T187" s="1302"/>
    </row>
    <row r="188" spans="1:20" ht="13.5" hidden="1" customHeight="1" x14ac:dyDescent="0.2">
      <c r="A188" s="2811"/>
      <c r="B188" s="696" t="s">
        <v>8</v>
      </c>
      <c r="C188" s="2816"/>
      <c r="D188" s="492">
        <f>+E188+F188+G188+H188</f>
        <v>0</v>
      </c>
      <c r="E188" s="735">
        <v>0</v>
      </c>
      <c r="F188" s="1394">
        <v>0</v>
      </c>
      <c r="G188" s="1394">
        <v>0</v>
      </c>
      <c r="H188" s="492">
        <v>0</v>
      </c>
      <c r="I188" s="492">
        <f>+J188+K188+L188+M188</f>
        <v>0</v>
      </c>
      <c r="J188" s="735">
        <v>0</v>
      </c>
      <c r="K188" s="1394">
        <v>0</v>
      </c>
      <c r="L188" s="1394">
        <v>0</v>
      </c>
      <c r="M188" s="492">
        <v>0</v>
      </c>
      <c r="N188" s="1396">
        <f t="shared" si="185"/>
        <v>0</v>
      </c>
      <c r="O188" s="1357" t="e">
        <f t="shared" si="142"/>
        <v>#DIV/0!</v>
      </c>
      <c r="P188" s="1394">
        <v>0</v>
      </c>
      <c r="Q188" s="1357" t="e">
        <f t="shared" si="143"/>
        <v>#DIV/0!</v>
      </c>
      <c r="R188" s="1394">
        <f t="shared" si="118"/>
        <v>0</v>
      </c>
      <c r="S188" s="2951"/>
      <c r="T188" s="1302"/>
    </row>
    <row r="189" spans="1:20" x14ac:dyDescent="0.2">
      <c r="A189" s="2811"/>
      <c r="B189" s="703" t="s">
        <v>13</v>
      </c>
      <c r="C189" s="2826"/>
      <c r="D189" s="704">
        <f t="shared" ref="D189:M189" si="190">+D190</f>
        <v>919301</v>
      </c>
      <c r="E189" s="706">
        <f t="shared" si="190"/>
        <v>0</v>
      </c>
      <c r="F189" s="705">
        <f t="shared" si="190"/>
        <v>219301</v>
      </c>
      <c r="G189" s="705">
        <f t="shared" si="190"/>
        <v>450000</v>
      </c>
      <c r="H189" s="1393">
        <f t="shared" si="190"/>
        <v>250000</v>
      </c>
      <c r="I189" s="704">
        <f t="shared" si="190"/>
        <v>700000</v>
      </c>
      <c r="J189" s="706">
        <f t="shared" si="190"/>
        <v>0</v>
      </c>
      <c r="K189" s="705">
        <f t="shared" si="190"/>
        <v>0</v>
      </c>
      <c r="L189" s="705">
        <f t="shared" si="190"/>
        <v>450000</v>
      </c>
      <c r="M189" s="1393">
        <f t="shared" si="190"/>
        <v>250000</v>
      </c>
      <c r="N189" s="704">
        <f t="shared" si="185"/>
        <v>0</v>
      </c>
      <c r="O189" s="1259">
        <f t="shared" si="142"/>
        <v>0</v>
      </c>
      <c r="P189" s="705">
        <f>+P190</f>
        <v>0</v>
      </c>
      <c r="Q189" s="1259">
        <f t="shared" si="143"/>
        <v>0</v>
      </c>
      <c r="R189" s="705">
        <f t="shared" si="118"/>
        <v>-112500</v>
      </c>
      <c r="S189" s="2951"/>
      <c r="T189" s="1302"/>
    </row>
    <row r="190" spans="1:20" ht="13.5" thickBot="1" x14ac:dyDescent="0.25">
      <c r="A190" s="2812"/>
      <c r="B190" s="717" t="s">
        <v>15</v>
      </c>
      <c r="C190" s="2827"/>
      <c r="D190" s="718">
        <f>+E190+F190+G190+H190</f>
        <v>919301</v>
      </c>
      <c r="E190" s="903">
        <v>0</v>
      </c>
      <c r="F190" s="805">
        <v>219301</v>
      </c>
      <c r="G190" s="805">
        <v>450000</v>
      </c>
      <c r="H190" s="1398">
        <v>250000</v>
      </c>
      <c r="I190" s="718">
        <f>+J190+K190+L190+M190</f>
        <v>700000</v>
      </c>
      <c r="J190" s="903">
        <v>0</v>
      </c>
      <c r="K190" s="805">
        <v>0</v>
      </c>
      <c r="L190" s="805">
        <v>450000</v>
      </c>
      <c r="M190" s="1398">
        <v>250000</v>
      </c>
      <c r="N190" s="718">
        <f t="shared" si="185"/>
        <v>0</v>
      </c>
      <c r="O190" s="1360">
        <f t="shared" si="142"/>
        <v>0</v>
      </c>
      <c r="P190" s="805">
        <v>0</v>
      </c>
      <c r="Q190" s="1360">
        <f t="shared" si="143"/>
        <v>0</v>
      </c>
      <c r="R190" s="805">
        <f t="shared" si="118"/>
        <v>-112500</v>
      </c>
      <c r="S190" s="2979"/>
      <c r="T190" s="1302"/>
    </row>
  </sheetData>
  <mergeCells count="92">
    <mergeCell ref="A167:A178"/>
    <mergeCell ref="S167:S178"/>
    <mergeCell ref="C169:C173"/>
    <mergeCell ref="C175:C178"/>
    <mergeCell ref="A179:A190"/>
    <mergeCell ref="S179:S190"/>
    <mergeCell ref="C181:C185"/>
    <mergeCell ref="C187:C190"/>
    <mergeCell ref="A131:A142"/>
    <mergeCell ref="S131:S142"/>
    <mergeCell ref="C133:C137"/>
    <mergeCell ref="C139:C142"/>
    <mergeCell ref="A155:A166"/>
    <mergeCell ref="S155:S166"/>
    <mergeCell ref="C157:C161"/>
    <mergeCell ref="C163:C166"/>
    <mergeCell ref="A143:A154"/>
    <mergeCell ref="S143:S154"/>
    <mergeCell ref="C145:C149"/>
    <mergeCell ref="C151:C154"/>
    <mergeCell ref="U37:U47"/>
    <mergeCell ref="C39:C42"/>
    <mergeCell ref="C44:C47"/>
    <mergeCell ref="A119:A130"/>
    <mergeCell ref="S119:S130"/>
    <mergeCell ref="C121:C125"/>
    <mergeCell ref="C127:C130"/>
    <mergeCell ref="A107:A118"/>
    <mergeCell ref="S107:S118"/>
    <mergeCell ref="C109:C113"/>
    <mergeCell ref="C115:C118"/>
    <mergeCell ref="A37:A47"/>
    <mergeCell ref="S37:S47"/>
    <mergeCell ref="A95:A106"/>
    <mergeCell ref="S95:S106"/>
    <mergeCell ref="C97:C101"/>
    <mergeCell ref="C103:C106"/>
    <mergeCell ref="A72:A83"/>
    <mergeCell ref="S72:S83"/>
    <mergeCell ref="C74:C78"/>
    <mergeCell ref="C80:C83"/>
    <mergeCell ref="A84:A94"/>
    <mergeCell ref="S84:S94"/>
    <mergeCell ref="C86:C89"/>
    <mergeCell ref="C91:C94"/>
    <mergeCell ref="A48:A59"/>
    <mergeCell ref="S48:S59"/>
    <mergeCell ref="C50:C54"/>
    <mergeCell ref="C56:C59"/>
    <mergeCell ref="A60:A71"/>
    <mergeCell ref="S60:S71"/>
    <mergeCell ref="C62:C66"/>
    <mergeCell ref="C68:C71"/>
    <mergeCell ref="A30:A36"/>
    <mergeCell ref="S30:S36"/>
    <mergeCell ref="C32:C33"/>
    <mergeCell ref="C35:C36"/>
    <mergeCell ref="A12:A22"/>
    <mergeCell ref="S12:S22"/>
    <mergeCell ref="C13:C17"/>
    <mergeCell ref="C19:C22"/>
    <mergeCell ref="A23:A29"/>
    <mergeCell ref="I23:M23"/>
    <mergeCell ref="S23:S29"/>
    <mergeCell ref="C25:C26"/>
    <mergeCell ref="C28:C29"/>
    <mergeCell ref="D23:H23"/>
    <mergeCell ref="A3:S3"/>
    <mergeCell ref="A4:A7"/>
    <mergeCell ref="B4:B7"/>
    <mergeCell ref="C4:C7"/>
    <mergeCell ref="D4:H4"/>
    <mergeCell ref="I4:M4"/>
    <mergeCell ref="N4:S4"/>
    <mergeCell ref="D5:D7"/>
    <mergeCell ref="E5:E7"/>
    <mergeCell ref="F5:F7"/>
    <mergeCell ref="I5:I7"/>
    <mergeCell ref="J5:J7"/>
    <mergeCell ref="K5:K7"/>
    <mergeCell ref="M5:M7"/>
    <mergeCell ref="N5:N7"/>
    <mergeCell ref="S5:S7"/>
    <mergeCell ref="G5:H5"/>
    <mergeCell ref="G6:G7"/>
    <mergeCell ref="H6:H7"/>
    <mergeCell ref="O5:R5"/>
    <mergeCell ref="O6:O7"/>
    <mergeCell ref="L5:L7"/>
    <mergeCell ref="P6:P7"/>
    <mergeCell ref="Q6:Q7"/>
    <mergeCell ref="R6:R7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60" firstPageNumber="70" orientation="portrait" useFirstPageNumber="1" r:id="rId1"/>
  <headerFooter alignWithMargins="0">
    <oddHeader>&amp;C&amp;"Arial,Kursywa"Informacja o przebiegu wykonania budżetu Województwa Zachodniopomorskiego za I kwartał 2013 roku - załączniki
____________________________________________________________________________________________________________________________</oddHeader>
    <oddFooter>&amp;C&amp;P</oddFooter>
  </headerFooter>
  <rowBreaks count="1" manualBreakCount="1">
    <brk id="83" max="18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1:BS1807"/>
  <sheetViews>
    <sheetView showGridLines="0" view="pageBreakPreview" zoomScaleNormal="100" zoomScaleSheetLayoutView="85" workbookViewId="0">
      <pane xSplit="2" ySplit="7" topLeftCell="C41" activePane="bottomRight" state="frozen"/>
      <selection activeCell="A5" sqref="A5:Q5"/>
      <selection pane="topRight" activeCell="A5" sqref="A5:Q5"/>
      <selection pane="bottomLeft" activeCell="A5" sqref="A5:Q5"/>
      <selection pane="bottomRight" activeCell="T1" sqref="T1:V1048576"/>
    </sheetView>
  </sheetViews>
  <sheetFormatPr defaultRowHeight="12.75" x14ac:dyDescent="0.2"/>
  <cols>
    <col min="1" max="1" width="3.7109375" style="1745" customWidth="1"/>
    <col min="2" max="2" width="53" style="1403" customWidth="1"/>
    <col min="3" max="3" width="11" style="1404" customWidth="1"/>
    <col min="4" max="4" width="14.140625" style="1403" customWidth="1"/>
    <col min="5" max="5" width="10.7109375" style="1746" hidden="1" customWidth="1"/>
    <col min="6" max="6" width="10.140625" style="1403" hidden="1" customWidth="1"/>
    <col min="7" max="7" width="13.28515625" style="1403" customWidth="1"/>
    <col min="8" max="8" width="11.85546875" style="1403" customWidth="1"/>
    <col min="9" max="9" width="12.7109375" style="1403" hidden="1" customWidth="1"/>
    <col min="10" max="10" width="10.7109375" style="1403" hidden="1" customWidth="1"/>
    <col min="11" max="11" width="11.85546875" style="1403" hidden="1" customWidth="1"/>
    <col min="12" max="12" width="10.85546875" style="1403" hidden="1" customWidth="1"/>
    <col min="13" max="13" width="0.7109375" style="1403" hidden="1" customWidth="1"/>
    <col min="14" max="14" width="11.28515625" style="1405" customWidth="1"/>
    <col min="15" max="15" width="10.85546875" style="1405" customWidth="1"/>
    <col min="16" max="16" width="11.28515625" style="1405" customWidth="1"/>
    <col min="17" max="17" width="11.140625" style="1405" customWidth="1"/>
    <col min="18" max="18" width="12" style="1405" hidden="1" customWidth="1"/>
    <col min="19" max="19" width="13.85546875" style="1747" customWidth="1"/>
    <col min="20" max="20" width="13" style="1406" customWidth="1"/>
    <col min="21" max="21" width="2.140625" style="1406" customWidth="1"/>
    <col min="22" max="22" width="9.85546875" style="1406" bestFit="1" customWidth="1"/>
    <col min="23" max="24" width="9.5703125" style="1406" bestFit="1" customWidth="1"/>
    <col min="25" max="25" width="11.5703125" style="1406" customWidth="1"/>
    <col min="26" max="36" width="9.140625" style="1406"/>
    <col min="37" max="37" width="8.5703125" style="1406" customWidth="1"/>
    <col min="38" max="49" width="9.140625" style="1406"/>
    <col min="50" max="50" width="8.7109375" style="1406" customWidth="1"/>
    <col min="51" max="60" width="9.140625" style="1406"/>
    <col min="61" max="61" width="4.28515625" style="1406" customWidth="1"/>
    <col min="62" max="71" width="9.140625" style="1406"/>
    <col min="72" max="72" width="5" style="1406" customWidth="1"/>
    <col min="73" max="82" width="9.140625" style="1406"/>
    <col min="83" max="83" width="3.85546875" style="1406" customWidth="1"/>
    <col min="84" max="95" width="9.140625" style="1406"/>
    <col min="96" max="96" width="5.28515625" style="1406" customWidth="1"/>
    <col min="97" max="108" width="9.140625" style="1406"/>
    <col min="109" max="109" width="1.5703125" style="1406" customWidth="1"/>
    <col min="110" max="122" width="9.140625" style="1406"/>
    <col min="123" max="123" width="0.7109375" style="1406" customWidth="1"/>
    <col min="124" max="135" width="9.140625" style="1406"/>
    <col min="136" max="136" width="8.28515625" style="1406" customWidth="1"/>
    <col min="137" max="145" width="9.140625" style="1406"/>
    <col min="146" max="146" width="0.28515625" style="1406" customWidth="1"/>
    <col min="147" max="172" width="9.140625" style="1406"/>
    <col min="173" max="173" width="0.7109375" style="1406" customWidth="1"/>
    <col min="174" max="16384" width="9.140625" style="1406"/>
  </cols>
  <sheetData>
    <row r="1" spans="1:71" ht="20.25" customHeight="1" x14ac:dyDescent="0.3">
      <c r="A1" s="1402"/>
      <c r="E1" s="1405"/>
      <c r="N1" s="9"/>
      <c r="O1" s="9"/>
      <c r="P1" s="9" t="s">
        <v>369</v>
      </c>
      <c r="Q1" s="9"/>
      <c r="R1" s="9" t="s">
        <v>156</v>
      </c>
      <c r="S1" s="1287"/>
    </row>
    <row r="2" spans="1:71" ht="5.25" customHeight="1" x14ac:dyDescent="0.2">
      <c r="A2" s="1402"/>
      <c r="B2" s="1405"/>
      <c r="C2" s="1407"/>
      <c r="D2" s="1405"/>
      <c r="E2" s="1405"/>
      <c r="F2" s="1405"/>
      <c r="G2" s="1405"/>
      <c r="H2" s="1405"/>
      <c r="I2" s="1405"/>
      <c r="J2" s="1405"/>
      <c r="K2" s="1405"/>
      <c r="L2" s="1405"/>
      <c r="M2" s="1405"/>
      <c r="N2" s="1408"/>
      <c r="S2" s="1287"/>
    </row>
    <row r="3" spans="1:71" s="1409" customFormat="1" ht="23.25" thickBot="1" x14ac:dyDescent="0.25">
      <c r="A3" s="2980" t="s">
        <v>301</v>
      </c>
      <c r="B3" s="2980"/>
      <c r="C3" s="2980"/>
      <c r="D3" s="2980"/>
      <c r="E3" s="2980"/>
      <c r="F3" s="2980"/>
      <c r="G3" s="2980"/>
      <c r="H3" s="2980"/>
      <c r="I3" s="2980"/>
      <c r="J3" s="2980"/>
      <c r="K3" s="2980"/>
      <c r="L3" s="2980"/>
      <c r="M3" s="2980"/>
      <c r="N3" s="2981"/>
      <c r="O3" s="2981"/>
      <c r="P3" s="2981"/>
      <c r="Q3" s="2981"/>
      <c r="R3" s="2981"/>
      <c r="S3" s="2981"/>
    </row>
    <row r="4" spans="1:71" s="252" customFormat="1" ht="45.75" customHeight="1" x14ac:dyDescent="0.2">
      <c r="A4" s="2982" t="s">
        <v>32</v>
      </c>
      <c r="B4" s="2985" t="s">
        <v>33</v>
      </c>
      <c r="C4" s="2988" t="s">
        <v>34</v>
      </c>
      <c r="D4" s="2717" t="s">
        <v>361</v>
      </c>
      <c r="E4" s="2718"/>
      <c r="F4" s="2718"/>
      <c r="G4" s="2718"/>
      <c r="H4" s="2719"/>
      <c r="I4" s="2927"/>
      <c r="J4" s="2928"/>
      <c r="K4" s="2928"/>
      <c r="L4" s="2928"/>
      <c r="M4" s="2929"/>
      <c r="N4" s="2930" t="s">
        <v>214</v>
      </c>
      <c r="O4" s="2718"/>
      <c r="P4" s="2718"/>
      <c r="Q4" s="2718"/>
      <c r="R4" s="2718"/>
      <c r="S4" s="2719"/>
    </row>
    <row r="5" spans="1:71" ht="26.25" customHeight="1" x14ac:dyDescent="0.2">
      <c r="A5" s="2983"/>
      <c r="B5" s="2986"/>
      <c r="C5" s="2989"/>
      <c r="D5" s="2931" t="s">
        <v>0</v>
      </c>
      <c r="E5" s="2934" t="s">
        <v>215</v>
      </c>
      <c r="F5" s="2935" t="s">
        <v>216</v>
      </c>
      <c r="G5" s="2917" t="s">
        <v>349</v>
      </c>
      <c r="H5" s="2918"/>
      <c r="I5" s="2937" t="s">
        <v>0</v>
      </c>
      <c r="J5" s="2919" t="s">
        <v>215</v>
      </c>
      <c r="K5" s="2940" t="s">
        <v>216</v>
      </c>
      <c r="L5" s="2919" t="s">
        <v>308</v>
      </c>
      <c r="M5" s="2943" t="s">
        <v>304</v>
      </c>
      <c r="N5" s="2944" t="s">
        <v>217</v>
      </c>
      <c r="O5" s="2720" t="s">
        <v>359</v>
      </c>
      <c r="P5" s="2721"/>
      <c r="Q5" s="2721"/>
      <c r="R5" s="2788"/>
      <c r="S5" s="2945" t="s">
        <v>35</v>
      </c>
    </row>
    <row r="6" spans="1:71" ht="39" customHeight="1" x14ac:dyDescent="0.2">
      <c r="A6" s="2983"/>
      <c r="B6" s="2986"/>
      <c r="C6" s="2989"/>
      <c r="D6" s="2932"/>
      <c r="E6" s="2932"/>
      <c r="F6" s="2935"/>
      <c r="G6" s="2753" t="s">
        <v>358</v>
      </c>
      <c r="H6" s="2761" t="s">
        <v>304</v>
      </c>
      <c r="I6" s="2938"/>
      <c r="J6" s="2920"/>
      <c r="K6" s="2941"/>
      <c r="L6" s="2920"/>
      <c r="M6" s="2733"/>
      <c r="N6" s="2753"/>
      <c r="O6" s="2753" t="s">
        <v>355</v>
      </c>
      <c r="P6" s="2709" t="s">
        <v>218</v>
      </c>
      <c r="Q6" s="2709" t="s">
        <v>356</v>
      </c>
      <c r="R6" s="2709" t="s">
        <v>219</v>
      </c>
      <c r="S6" s="2946"/>
    </row>
    <row r="7" spans="1:71" ht="72" customHeight="1" thickBot="1" x14ac:dyDescent="0.25">
      <c r="A7" s="2984"/>
      <c r="B7" s="2987"/>
      <c r="C7" s="2990"/>
      <c r="D7" s="2933"/>
      <c r="E7" s="2933"/>
      <c r="F7" s="2936"/>
      <c r="G7" s="2755"/>
      <c r="H7" s="2762"/>
      <c r="I7" s="2939"/>
      <c r="J7" s="2921"/>
      <c r="K7" s="2942"/>
      <c r="L7" s="2921"/>
      <c r="M7" s="2735"/>
      <c r="N7" s="2755"/>
      <c r="O7" s="2755"/>
      <c r="P7" s="2710"/>
      <c r="Q7" s="2710"/>
      <c r="R7" s="2710"/>
      <c r="S7" s="2787"/>
    </row>
    <row r="8" spans="1:71" s="1411" customFormat="1" ht="12" customHeight="1" thickBot="1" x14ac:dyDescent="0.25">
      <c r="A8" s="504">
        <v>1</v>
      </c>
      <c r="B8" s="505">
        <v>2</v>
      </c>
      <c r="C8" s="258">
        <v>3</v>
      </c>
      <c r="D8" s="506">
        <v>4</v>
      </c>
      <c r="E8" s="257"/>
      <c r="F8" s="257"/>
      <c r="G8" s="257">
        <v>5</v>
      </c>
      <c r="H8" s="258">
        <v>6</v>
      </c>
      <c r="I8" s="506">
        <v>7</v>
      </c>
      <c r="J8" s="257"/>
      <c r="K8" s="1410"/>
      <c r="L8" s="257">
        <v>8</v>
      </c>
      <c r="M8" s="258">
        <v>9</v>
      </c>
      <c r="N8" s="506">
        <v>7</v>
      </c>
      <c r="O8" s="257">
        <v>8</v>
      </c>
      <c r="P8" s="257">
        <v>9</v>
      </c>
      <c r="Q8" s="257">
        <v>10</v>
      </c>
      <c r="R8" s="257">
        <v>14</v>
      </c>
      <c r="S8" s="258">
        <v>11</v>
      </c>
      <c r="V8" s="1412"/>
    </row>
    <row r="9" spans="1:71" s="271" customFormat="1" ht="18" customHeight="1" thickBot="1" x14ac:dyDescent="0.25">
      <c r="A9" s="263"/>
      <c r="B9" s="264" t="s">
        <v>220</v>
      </c>
      <c r="C9" s="509"/>
      <c r="D9" s="35">
        <f t="shared" ref="D9:H9" si="0">D10+D11</f>
        <v>108401619.0325</v>
      </c>
      <c r="E9" s="34">
        <f t="shared" si="0"/>
        <v>38339165.032499999</v>
      </c>
      <c r="F9" s="36">
        <f t="shared" si="0"/>
        <v>22321266</v>
      </c>
      <c r="G9" s="34">
        <f t="shared" si="0"/>
        <v>28296972</v>
      </c>
      <c r="H9" s="37">
        <f t="shared" si="0"/>
        <v>19444216</v>
      </c>
      <c r="I9" s="35">
        <f t="shared" ref="I9" si="1">I10+I11</f>
        <v>103711574.0325</v>
      </c>
      <c r="J9" s="34">
        <f t="shared" ref="J9:N9" si="2">J10+J11</f>
        <v>38339165.032499999</v>
      </c>
      <c r="K9" s="1413">
        <f t="shared" si="2"/>
        <v>17631221</v>
      </c>
      <c r="L9" s="34">
        <f t="shared" si="2"/>
        <v>28296972</v>
      </c>
      <c r="M9" s="37">
        <f t="shared" si="2"/>
        <v>19444216</v>
      </c>
      <c r="N9" s="35">
        <f t="shared" si="2"/>
        <v>61483517.032499999</v>
      </c>
      <c r="O9" s="156">
        <f>N9/D9*100</f>
        <v>56.718264525243441</v>
      </c>
      <c r="P9" s="36">
        <f>P10+P11</f>
        <v>5513131</v>
      </c>
      <c r="Q9" s="156">
        <f>P9/G9*100</f>
        <v>19.483112892785844</v>
      </c>
      <c r="R9" s="1414">
        <f t="shared" ref="R9:R59" si="3">+P9-L9*0.25</f>
        <v>-1561112</v>
      </c>
      <c r="S9" s="1415"/>
      <c r="T9" s="270"/>
      <c r="U9" s="239"/>
      <c r="V9" s="239"/>
      <c r="W9" s="239"/>
      <c r="X9" s="239"/>
      <c r="Y9" s="239"/>
      <c r="Z9" s="239"/>
      <c r="AA9" s="239"/>
      <c r="AB9" s="239"/>
      <c r="AC9" s="239"/>
      <c r="AD9" s="239"/>
      <c r="AE9" s="239"/>
      <c r="AF9" s="239"/>
      <c r="AG9" s="239"/>
      <c r="AH9" s="239"/>
      <c r="AI9" s="239"/>
      <c r="AJ9" s="239"/>
      <c r="AK9" s="239"/>
      <c r="AL9" s="239"/>
      <c r="AM9" s="239"/>
      <c r="AN9" s="239"/>
      <c r="AO9" s="239"/>
      <c r="AP9" s="239"/>
      <c r="AQ9" s="239"/>
      <c r="AR9" s="239"/>
      <c r="AS9" s="239"/>
      <c r="AT9" s="239"/>
      <c r="AU9" s="239"/>
      <c r="AV9" s="239"/>
      <c r="AW9" s="239"/>
      <c r="AX9" s="239"/>
      <c r="AY9" s="239"/>
      <c r="AZ9" s="239"/>
      <c r="BA9" s="239"/>
      <c r="BB9" s="239"/>
      <c r="BC9" s="239"/>
      <c r="BD9" s="239"/>
      <c r="BE9" s="239"/>
      <c r="BF9" s="239"/>
      <c r="BG9" s="239"/>
      <c r="BH9" s="239"/>
      <c r="BI9" s="239"/>
      <c r="BJ9" s="239"/>
      <c r="BK9" s="239"/>
      <c r="BL9" s="239"/>
      <c r="BM9" s="239"/>
      <c r="BN9" s="239"/>
      <c r="BO9" s="239"/>
      <c r="BP9" s="239"/>
      <c r="BQ9" s="239"/>
      <c r="BR9" s="239"/>
      <c r="BS9" s="239"/>
    </row>
    <row r="10" spans="1:71" s="522" customFormat="1" ht="14.25" customHeight="1" thickTop="1" thickBot="1" x14ac:dyDescent="0.25">
      <c r="A10" s="512"/>
      <c r="B10" s="513" t="s">
        <v>221</v>
      </c>
      <c r="C10" s="514"/>
      <c r="D10" s="44">
        <f>D61+D65+D69</f>
        <v>21900000</v>
      </c>
      <c r="E10" s="43">
        <f t="shared" ref="E10:H10" si="4">E61+E65+E69</f>
        <v>4921500</v>
      </c>
      <c r="F10" s="45">
        <f t="shared" si="4"/>
        <v>918000</v>
      </c>
      <c r="G10" s="43">
        <f t="shared" si="4"/>
        <v>1339284</v>
      </c>
      <c r="H10" s="46">
        <f t="shared" si="4"/>
        <v>14721216</v>
      </c>
      <c r="I10" s="44">
        <f>I61+I65+I69</f>
        <v>21900000</v>
      </c>
      <c r="J10" s="43">
        <f t="shared" ref="J10:P10" si="5">J61+J65+J69</f>
        <v>4921500</v>
      </c>
      <c r="K10" s="1416">
        <f t="shared" si="5"/>
        <v>918000</v>
      </c>
      <c r="L10" s="43">
        <f t="shared" si="5"/>
        <v>1339284</v>
      </c>
      <c r="M10" s="46">
        <f t="shared" si="5"/>
        <v>14721216</v>
      </c>
      <c r="N10" s="47">
        <f t="shared" si="5"/>
        <v>5839500</v>
      </c>
      <c r="O10" s="157">
        <f t="shared" ref="O10:O14" si="6">N10/D10*100</f>
        <v>26.664383561643834</v>
      </c>
      <c r="P10" s="45">
        <f t="shared" si="5"/>
        <v>0</v>
      </c>
      <c r="Q10" s="157">
        <f>P10/G10*100</f>
        <v>0</v>
      </c>
      <c r="R10" s="1417">
        <f t="shared" si="3"/>
        <v>-334821</v>
      </c>
      <c r="S10" s="1418"/>
      <c r="T10" s="521"/>
      <c r="U10" s="250"/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0"/>
      <c r="BL10" s="250"/>
      <c r="BM10" s="250"/>
      <c r="BN10" s="250"/>
      <c r="BO10" s="250"/>
      <c r="BP10" s="250"/>
      <c r="BQ10" s="250"/>
      <c r="BR10" s="250"/>
      <c r="BS10" s="250"/>
    </row>
    <row r="11" spans="1:71" s="271" customFormat="1" ht="14.25" customHeight="1" thickTop="1" thickBot="1" x14ac:dyDescent="0.25">
      <c r="A11" s="272"/>
      <c r="B11" s="523" t="s">
        <v>222</v>
      </c>
      <c r="C11" s="524"/>
      <c r="D11" s="1419">
        <f>D31+D41+D51+D52+D53</f>
        <v>86501619.032499999</v>
      </c>
      <c r="E11" s="1420">
        <f t="shared" ref="E11:H11" si="7">E31+E41+E51+E52+E53</f>
        <v>33417665.032499999</v>
      </c>
      <c r="F11" s="291">
        <f t="shared" si="7"/>
        <v>21403266</v>
      </c>
      <c r="G11" s="1420">
        <f t="shared" si="7"/>
        <v>26957688</v>
      </c>
      <c r="H11" s="1421">
        <f t="shared" si="7"/>
        <v>4723000</v>
      </c>
      <c r="I11" s="1419">
        <f>I31+I41+I51+I52+I53</f>
        <v>81811574.032499999</v>
      </c>
      <c r="J11" s="1420">
        <f t="shared" ref="J11:P11" si="8">J31+J41+J51+J52+J53</f>
        <v>33417665.032499999</v>
      </c>
      <c r="K11" s="1422">
        <f t="shared" si="8"/>
        <v>16713221</v>
      </c>
      <c r="L11" s="1420">
        <f t="shared" si="8"/>
        <v>26957688</v>
      </c>
      <c r="M11" s="1421">
        <f t="shared" si="8"/>
        <v>4723000</v>
      </c>
      <c r="N11" s="1419">
        <f t="shared" si="8"/>
        <v>55644017.032499999</v>
      </c>
      <c r="O11" s="162">
        <f t="shared" si="6"/>
        <v>64.327139370181811</v>
      </c>
      <c r="P11" s="291">
        <f t="shared" si="8"/>
        <v>5513131</v>
      </c>
      <c r="Q11" s="162">
        <f t="shared" ref="Q11:Q13" si="9">P11/G11*100</f>
        <v>20.45105277574249</v>
      </c>
      <c r="R11" s="1423">
        <f t="shared" si="3"/>
        <v>-1226291</v>
      </c>
      <c r="S11" s="1415"/>
      <c r="T11" s="270"/>
      <c r="U11" s="239"/>
      <c r="V11" s="239"/>
      <c r="W11" s="239"/>
      <c r="X11" s="239"/>
      <c r="Y11" s="239"/>
      <c r="Z11" s="239"/>
      <c r="AA11" s="239"/>
      <c r="AB11" s="239"/>
      <c r="AC11" s="239"/>
      <c r="AD11" s="239"/>
      <c r="AE11" s="239"/>
      <c r="AF11" s="239"/>
      <c r="AG11" s="239"/>
      <c r="AH11" s="239"/>
      <c r="AI11" s="239"/>
      <c r="AJ11" s="239"/>
      <c r="AK11" s="239"/>
      <c r="AL11" s="239"/>
      <c r="AM11" s="239"/>
      <c r="AN11" s="239"/>
      <c r="AO11" s="239"/>
      <c r="AP11" s="239"/>
      <c r="AQ11" s="239"/>
      <c r="AR11" s="239"/>
      <c r="AS11" s="239"/>
      <c r="AT11" s="239"/>
      <c r="AU11" s="239"/>
      <c r="AV11" s="239"/>
      <c r="AW11" s="239"/>
      <c r="AX11" s="239"/>
      <c r="AY11" s="239"/>
      <c r="AZ11" s="239"/>
      <c r="BA11" s="239"/>
      <c r="BB11" s="239"/>
      <c r="BC11" s="239"/>
      <c r="BD11" s="239"/>
      <c r="BE11" s="239"/>
      <c r="BF11" s="239"/>
      <c r="BG11" s="239"/>
      <c r="BH11" s="239"/>
      <c r="BI11" s="239"/>
      <c r="BJ11" s="239"/>
      <c r="BK11" s="239"/>
      <c r="BL11" s="239"/>
      <c r="BM11" s="239"/>
      <c r="BN11" s="239"/>
      <c r="BO11" s="239"/>
      <c r="BP11" s="239"/>
      <c r="BQ11" s="239"/>
      <c r="BR11" s="239"/>
      <c r="BS11" s="239"/>
    </row>
    <row r="12" spans="1:71" s="352" customFormat="1" ht="14.25" customHeight="1" x14ac:dyDescent="0.2">
      <c r="A12" s="2991"/>
      <c r="B12" s="1424" t="s">
        <v>3</v>
      </c>
      <c r="C12" s="1425"/>
      <c r="D12" s="1426">
        <f t="shared" ref="D12:H12" si="10">SUM(D13,D19)</f>
        <v>220679648.0325</v>
      </c>
      <c r="E12" s="1427">
        <f t="shared" si="10"/>
        <v>124217387.0325</v>
      </c>
      <c r="F12" s="1427">
        <f t="shared" si="10"/>
        <v>37296881</v>
      </c>
      <c r="G12" s="1428">
        <f t="shared" si="10"/>
        <v>39480164</v>
      </c>
      <c r="H12" s="1429">
        <f t="shared" si="10"/>
        <v>19685216</v>
      </c>
      <c r="I12" s="1426">
        <f t="shared" ref="I12:N12" si="11">SUM(I13,I19)</f>
        <v>212583856.0325</v>
      </c>
      <c r="J12" s="1427">
        <f t="shared" si="11"/>
        <v>124217387.0325</v>
      </c>
      <c r="K12" s="1427">
        <f t="shared" si="11"/>
        <v>29201089</v>
      </c>
      <c r="L12" s="1428">
        <f t="shared" si="11"/>
        <v>39480164</v>
      </c>
      <c r="M12" s="1429">
        <f t="shared" si="11"/>
        <v>19685216</v>
      </c>
      <c r="N12" s="1430">
        <f t="shared" si="11"/>
        <v>158931607.0325</v>
      </c>
      <c r="O12" s="536">
        <f t="shared" si="6"/>
        <v>72.019150134358455</v>
      </c>
      <c r="P12" s="1431">
        <f>SUM(P13,P19)</f>
        <v>5513131</v>
      </c>
      <c r="Q12" s="536">
        <f t="shared" si="9"/>
        <v>13.964306227299359</v>
      </c>
      <c r="R12" s="1432">
        <f t="shared" si="3"/>
        <v>-4356910</v>
      </c>
      <c r="S12" s="2994"/>
      <c r="T12" s="470"/>
      <c r="V12" s="470"/>
      <c r="W12" s="470" t="e">
        <f>N28+#REF!+N38+#REF!+N48</f>
        <v>#REF!</v>
      </c>
      <c r="Y12" s="470" t="e">
        <f>P28+#REF!+P38+#REF!+P48</f>
        <v>#REF!</v>
      </c>
    </row>
    <row r="13" spans="1:71" s="1440" customFormat="1" ht="14.25" customHeight="1" x14ac:dyDescent="0.2">
      <c r="A13" s="2992"/>
      <c r="B13" s="1433" t="s">
        <v>4</v>
      </c>
      <c r="C13" s="2997"/>
      <c r="D13" s="1434">
        <f>SUM(D14:D18)</f>
        <v>161299694.0325</v>
      </c>
      <c r="E13" s="1435">
        <f t="shared" ref="E13:H13" si="12">SUM(E14:E18)</f>
        <v>77625594.032499999</v>
      </c>
      <c r="F13" s="1435">
        <f t="shared" si="12"/>
        <v>26562016</v>
      </c>
      <c r="G13" s="1435">
        <f t="shared" si="12"/>
        <v>37426868</v>
      </c>
      <c r="H13" s="1436">
        <f t="shared" si="12"/>
        <v>19685216</v>
      </c>
      <c r="I13" s="1434">
        <f>SUM(I14:I18)</f>
        <v>156698223.0325</v>
      </c>
      <c r="J13" s="1435">
        <f t="shared" ref="J13:N13" si="13">SUM(J14:J18)</f>
        <v>77625594.032499999</v>
      </c>
      <c r="K13" s="1435">
        <f t="shared" si="13"/>
        <v>21960545</v>
      </c>
      <c r="L13" s="1435">
        <f t="shared" si="13"/>
        <v>37426868</v>
      </c>
      <c r="M13" s="1436">
        <f t="shared" si="13"/>
        <v>19685216</v>
      </c>
      <c r="N13" s="1437">
        <f t="shared" si="13"/>
        <v>105099270.0325</v>
      </c>
      <c r="O13" s="545">
        <f t="shared" si="6"/>
        <v>65.157761558632416</v>
      </c>
      <c r="P13" s="1438">
        <f>SUM(P14:P18)</f>
        <v>5513131</v>
      </c>
      <c r="Q13" s="545">
        <f t="shared" si="9"/>
        <v>14.730409715287959</v>
      </c>
      <c r="R13" s="1439">
        <f t="shared" si="3"/>
        <v>-3843586</v>
      </c>
      <c r="S13" s="2995"/>
      <c r="T13" s="470"/>
      <c r="V13" s="1441"/>
    </row>
    <row r="14" spans="1:71" s="1440" customFormat="1" ht="14.25" customHeight="1" x14ac:dyDescent="0.2">
      <c r="A14" s="2992"/>
      <c r="B14" s="1442" t="s">
        <v>303</v>
      </c>
      <c r="C14" s="2998"/>
      <c r="D14" s="1443">
        <f>+D63+D67+D71</f>
        <v>21900000</v>
      </c>
      <c r="E14" s="1444">
        <f t="shared" ref="E14:H14" si="14">+E63+E67+E71</f>
        <v>4921500</v>
      </c>
      <c r="F14" s="1444">
        <f t="shared" si="14"/>
        <v>918000</v>
      </c>
      <c r="G14" s="1444">
        <f t="shared" si="14"/>
        <v>1339284</v>
      </c>
      <c r="H14" s="1445">
        <f t="shared" si="14"/>
        <v>14721216</v>
      </c>
      <c r="I14" s="1443">
        <f>+I63+I67+I71</f>
        <v>21900000</v>
      </c>
      <c r="J14" s="1444">
        <f t="shared" ref="J14:N14" si="15">+J63+J67+J71</f>
        <v>4921500</v>
      </c>
      <c r="K14" s="1444">
        <f t="shared" si="15"/>
        <v>918000</v>
      </c>
      <c r="L14" s="1444">
        <f t="shared" si="15"/>
        <v>1339284</v>
      </c>
      <c r="M14" s="1445">
        <f t="shared" si="15"/>
        <v>14721216</v>
      </c>
      <c r="N14" s="1446">
        <f t="shared" si="15"/>
        <v>5839500</v>
      </c>
      <c r="O14" s="555">
        <f t="shared" si="6"/>
        <v>26.664383561643834</v>
      </c>
      <c r="P14" s="1447">
        <f>+P63+P67+P71</f>
        <v>0</v>
      </c>
      <c r="Q14" s="555">
        <f>P14/G14*100</f>
        <v>0</v>
      </c>
      <c r="R14" s="1448">
        <f t="shared" si="3"/>
        <v>-334821</v>
      </c>
      <c r="S14" s="2995"/>
      <c r="T14" s="470"/>
      <c r="V14" s="1441"/>
    </row>
    <row r="15" spans="1:71" s="352" customFormat="1" ht="14.25" customHeight="1" x14ac:dyDescent="0.2">
      <c r="A15" s="2992"/>
      <c r="B15" s="1449" t="s">
        <v>7</v>
      </c>
      <c r="C15" s="2999"/>
      <c r="D15" s="1450">
        <f>SUM(D30,D40,D50)</f>
        <v>52898075</v>
      </c>
      <c r="E15" s="1451">
        <f t="shared" ref="E15:H15" si="16">SUM(E30,E40,E50)</f>
        <v>39286429</v>
      </c>
      <c r="F15" s="1451">
        <f t="shared" si="16"/>
        <v>4240750</v>
      </c>
      <c r="G15" s="1451">
        <f t="shared" si="16"/>
        <v>9129896</v>
      </c>
      <c r="H15" s="1452">
        <f t="shared" si="16"/>
        <v>241000</v>
      </c>
      <c r="I15" s="1450">
        <f>SUM(I30,I40,I50)</f>
        <v>52986649</v>
      </c>
      <c r="J15" s="1451">
        <f t="shared" ref="J15:P15" si="17">SUM(J30,J40,J50)</f>
        <v>39286429</v>
      </c>
      <c r="K15" s="1451">
        <f t="shared" si="17"/>
        <v>4329324</v>
      </c>
      <c r="L15" s="1451">
        <f t="shared" si="17"/>
        <v>9129896</v>
      </c>
      <c r="M15" s="1452">
        <f t="shared" si="17"/>
        <v>241000</v>
      </c>
      <c r="N15" s="1453">
        <f t="shared" si="17"/>
        <v>43615753</v>
      </c>
      <c r="O15" s="555">
        <f>N15/D15*100</f>
        <v>82.452438959262693</v>
      </c>
      <c r="P15" s="1454">
        <f t="shared" si="17"/>
        <v>0</v>
      </c>
      <c r="Q15" s="555">
        <f>P15/G15*100</f>
        <v>0</v>
      </c>
      <c r="R15" s="1448">
        <f t="shared" si="3"/>
        <v>-2282474</v>
      </c>
      <c r="S15" s="2995"/>
      <c r="T15" s="470"/>
      <c r="V15" s="470"/>
    </row>
    <row r="16" spans="1:71" s="352" customFormat="1" ht="12" customHeight="1" x14ac:dyDescent="0.2">
      <c r="A16" s="2992"/>
      <c r="B16" s="1455" t="s">
        <v>6</v>
      </c>
      <c r="C16" s="2999"/>
      <c r="D16" s="1456">
        <f>SUM(D31,D41,D51)</f>
        <v>43614619.032499999</v>
      </c>
      <c r="E16" s="1457">
        <f t="shared" ref="E16:H16" si="18">SUM(E31,E41,E51)</f>
        <v>23207665.032499999</v>
      </c>
      <c r="F16" s="1457">
        <f t="shared" si="18"/>
        <v>12803266</v>
      </c>
      <c r="G16" s="1457">
        <f t="shared" si="18"/>
        <v>7362688</v>
      </c>
      <c r="H16" s="1458">
        <f t="shared" si="18"/>
        <v>241000</v>
      </c>
      <c r="I16" s="1456">
        <f>SUM(I31,I41,I51)</f>
        <v>43614619.032499999</v>
      </c>
      <c r="J16" s="1457">
        <f t="shared" ref="J16:N16" si="19">SUM(J31,J41,J51)</f>
        <v>23207665.032499999</v>
      </c>
      <c r="K16" s="1457">
        <f t="shared" si="19"/>
        <v>12803266</v>
      </c>
      <c r="L16" s="1457">
        <f t="shared" si="19"/>
        <v>7362688</v>
      </c>
      <c r="M16" s="1458">
        <f t="shared" si="19"/>
        <v>241000</v>
      </c>
      <c r="N16" s="1459">
        <f t="shared" si="19"/>
        <v>41524062.032499999</v>
      </c>
      <c r="O16" s="1460">
        <f>N16/D16*100</f>
        <v>95.206751666357121</v>
      </c>
      <c r="P16" s="1461">
        <f>SUM(P31,P41,P51)</f>
        <v>5513131</v>
      </c>
      <c r="Q16" s="1460">
        <f t="shared" ref="Q16:Q67" si="20">P16/G16*100</f>
        <v>74.879323964291302</v>
      </c>
      <c r="R16" s="1462">
        <f t="shared" si="3"/>
        <v>3672459</v>
      </c>
      <c r="S16" s="2995"/>
      <c r="T16" s="470"/>
      <c r="V16" s="470"/>
      <c r="W16" s="470"/>
    </row>
    <row r="17" spans="1:24" s="352" customFormat="1" ht="14.25" customHeight="1" x14ac:dyDescent="0.2">
      <c r="A17" s="2992"/>
      <c r="B17" s="1463" t="s">
        <v>8</v>
      </c>
      <c r="C17" s="2999"/>
      <c r="D17" s="1456">
        <f t="shared" ref="D17:H17" si="21">D52</f>
        <v>34687000</v>
      </c>
      <c r="E17" s="1464">
        <f t="shared" si="21"/>
        <v>8065000</v>
      </c>
      <c r="F17" s="1464">
        <f t="shared" si="21"/>
        <v>6545000</v>
      </c>
      <c r="G17" s="1464">
        <f t="shared" si="21"/>
        <v>17595000</v>
      </c>
      <c r="H17" s="1458">
        <f t="shared" si="21"/>
        <v>2482000</v>
      </c>
      <c r="I17" s="1456">
        <f t="shared" ref="I17:M18" si="22">I52</f>
        <v>29996955</v>
      </c>
      <c r="J17" s="1464">
        <f t="shared" si="22"/>
        <v>8065000</v>
      </c>
      <c r="K17" s="1464">
        <f t="shared" si="22"/>
        <v>1854955</v>
      </c>
      <c r="L17" s="1464">
        <f t="shared" si="22"/>
        <v>17595000</v>
      </c>
      <c r="M17" s="1458">
        <f t="shared" si="22"/>
        <v>2482000</v>
      </c>
      <c r="N17" s="1465">
        <f>N52</f>
        <v>9919955</v>
      </c>
      <c r="O17" s="1466">
        <f t="shared" ref="O17:O71" si="23">N17/D17*100</f>
        <v>28.598480698820882</v>
      </c>
      <c r="P17" s="1467">
        <f>P52</f>
        <v>0</v>
      </c>
      <c r="Q17" s="1466">
        <f t="shared" si="20"/>
        <v>0</v>
      </c>
      <c r="R17" s="1462">
        <f t="shared" si="3"/>
        <v>-4398750</v>
      </c>
      <c r="S17" s="2995"/>
      <c r="T17" s="470"/>
      <c r="V17" s="470"/>
      <c r="W17" s="470">
        <f>+P20+P15</f>
        <v>0</v>
      </c>
      <c r="X17" s="470">
        <f>+N20+N15</f>
        <v>97448090</v>
      </c>
    </row>
    <row r="18" spans="1:24" s="352" customFormat="1" ht="11.25" customHeight="1" x14ac:dyDescent="0.2">
      <c r="A18" s="2992"/>
      <c r="B18" s="1463" t="s">
        <v>157</v>
      </c>
      <c r="C18" s="2999"/>
      <c r="D18" s="1456">
        <f t="shared" ref="D18:H18" si="24">D53</f>
        <v>8200000</v>
      </c>
      <c r="E18" s="1464">
        <f t="shared" si="24"/>
        <v>2145000</v>
      </c>
      <c r="F18" s="1464">
        <f t="shared" si="24"/>
        <v>2055000</v>
      </c>
      <c r="G18" s="1451">
        <f t="shared" si="24"/>
        <v>2000000</v>
      </c>
      <c r="H18" s="1458">
        <f t="shared" si="24"/>
        <v>2000000</v>
      </c>
      <c r="I18" s="1456">
        <f t="shared" si="22"/>
        <v>8200000</v>
      </c>
      <c r="J18" s="1464">
        <f t="shared" si="22"/>
        <v>2145000</v>
      </c>
      <c r="K18" s="1464">
        <f t="shared" si="22"/>
        <v>2055000</v>
      </c>
      <c r="L18" s="1451">
        <f t="shared" si="22"/>
        <v>2000000</v>
      </c>
      <c r="M18" s="1458">
        <f t="shared" si="22"/>
        <v>2000000</v>
      </c>
      <c r="N18" s="1465">
        <f>N53</f>
        <v>4200000</v>
      </c>
      <c r="O18" s="1466">
        <f t="shared" si="23"/>
        <v>51.219512195121951</v>
      </c>
      <c r="P18" s="1454">
        <f>P53</f>
        <v>0</v>
      </c>
      <c r="Q18" s="1466">
        <f t="shared" si="20"/>
        <v>0</v>
      </c>
      <c r="R18" s="1462">
        <f t="shared" si="3"/>
        <v>-500000</v>
      </c>
      <c r="S18" s="2995"/>
      <c r="T18" s="470"/>
      <c r="V18" s="470"/>
      <c r="X18" s="470">
        <f>+X17-W17</f>
        <v>97448090</v>
      </c>
    </row>
    <row r="19" spans="1:24" s="1440" customFormat="1" ht="12.75" customHeight="1" x14ac:dyDescent="0.2">
      <c r="A19" s="2992"/>
      <c r="B19" s="1433" t="s">
        <v>13</v>
      </c>
      <c r="C19" s="2999"/>
      <c r="D19" s="1468">
        <f t="shared" ref="D19:P19" si="25">SUM(D20:D20)</f>
        <v>59379954</v>
      </c>
      <c r="E19" s="1435">
        <f t="shared" si="25"/>
        <v>46591793</v>
      </c>
      <c r="F19" s="1435">
        <f t="shared" si="25"/>
        <v>10734865</v>
      </c>
      <c r="G19" s="1435">
        <f t="shared" si="25"/>
        <v>2053296</v>
      </c>
      <c r="H19" s="1469">
        <f t="shared" si="25"/>
        <v>0</v>
      </c>
      <c r="I19" s="1468">
        <f t="shared" si="25"/>
        <v>55885633</v>
      </c>
      <c r="J19" s="1435">
        <f t="shared" si="25"/>
        <v>46591793</v>
      </c>
      <c r="K19" s="1435">
        <f t="shared" si="25"/>
        <v>7240544</v>
      </c>
      <c r="L19" s="1435">
        <f t="shared" si="25"/>
        <v>2053296</v>
      </c>
      <c r="M19" s="1469">
        <f t="shared" si="25"/>
        <v>0</v>
      </c>
      <c r="N19" s="1437">
        <f t="shared" si="25"/>
        <v>53832337</v>
      </c>
      <c r="O19" s="1470">
        <f t="shared" si="23"/>
        <v>90.657424557789312</v>
      </c>
      <c r="P19" s="1438">
        <f t="shared" si="25"/>
        <v>0</v>
      </c>
      <c r="Q19" s="1470">
        <f t="shared" si="20"/>
        <v>0</v>
      </c>
      <c r="R19" s="1439">
        <f t="shared" si="3"/>
        <v>-513324</v>
      </c>
      <c r="S19" s="2995"/>
      <c r="T19" s="470"/>
      <c r="V19" s="1441"/>
    </row>
    <row r="20" spans="1:24" s="352" customFormat="1" ht="12" customHeight="1" x14ac:dyDescent="0.2">
      <c r="A20" s="2992"/>
      <c r="B20" s="1471" t="s">
        <v>16</v>
      </c>
      <c r="C20" s="3000"/>
      <c r="D20" s="1456">
        <f>SUM(D33,D43,D55)</f>
        <v>59379954</v>
      </c>
      <c r="E20" s="1457">
        <f t="shared" ref="E20:H20" si="26">SUM(E33,E43,E55)</f>
        <v>46591793</v>
      </c>
      <c r="F20" s="1457">
        <f t="shared" si="26"/>
        <v>10734865</v>
      </c>
      <c r="G20" s="1457">
        <f t="shared" si="26"/>
        <v>2053296</v>
      </c>
      <c r="H20" s="1458">
        <f t="shared" si="26"/>
        <v>0</v>
      </c>
      <c r="I20" s="1456">
        <f>SUM(I33,I43,I55)</f>
        <v>55885633</v>
      </c>
      <c r="J20" s="1457">
        <f t="shared" ref="J20:M20" si="27">SUM(J33,J43,J55)</f>
        <v>46591793</v>
      </c>
      <c r="K20" s="1457">
        <f t="shared" si="27"/>
        <v>7240544</v>
      </c>
      <c r="L20" s="1457">
        <f t="shared" si="27"/>
        <v>2053296</v>
      </c>
      <c r="M20" s="1458">
        <f t="shared" si="27"/>
        <v>0</v>
      </c>
      <c r="N20" s="1459">
        <f>SUM(N33,N43,N55)</f>
        <v>53832337</v>
      </c>
      <c r="O20" s="1466">
        <f t="shared" si="23"/>
        <v>90.657424557789312</v>
      </c>
      <c r="P20" s="1461">
        <f>SUM(P33,P43,P55)</f>
        <v>0</v>
      </c>
      <c r="Q20" s="1466">
        <f t="shared" si="20"/>
        <v>0</v>
      </c>
      <c r="R20" s="1462">
        <f t="shared" si="3"/>
        <v>-513324</v>
      </c>
      <c r="S20" s="2995"/>
      <c r="T20" s="470"/>
    </row>
    <row r="21" spans="1:24" s="352" customFormat="1" ht="12.75" customHeight="1" x14ac:dyDescent="0.2">
      <c r="A21" s="2992"/>
      <c r="B21" s="565" t="s">
        <v>17</v>
      </c>
      <c r="C21" s="1472"/>
      <c r="D21" s="1473">
        <f t="shared" ref="D21" si="28">+D22+D25</f>
        <v>102266954</v>
      </c>
      <c r="E21" s="1474">
        <f>+E22+E25</f>
        <v>56801793</v>
      </c>
      <c r="F21" s="1474">
        <f>+F22+F25</f>
        <v>19334865</v>
      </c>
      <c r="G21" s="1475">
        <f>+G22+G25</f>
        <v>21648296</v>
      </c>
      <c r="H21" s="1476">
        <f>+H22+H25</f>
        <v>4482000</v>
      </c>
      <c r="I21" s="1473">
        <f t="shared" ref="I21:N21" si="29">+I22+I25</f>
        <v>94082588</v>
      </c>
      <c r="J21" s="1474">
        <f>+J22+J25</f>
        <v>56801793</v>
      </c>
      <c r="K21" s="1474">
        <f>+K22+K25</f>
        <v>11150499</v>
      </c>
      <c r="L21" s="1475">
        <f>+L22+L25</f>
        <v>21648296</v>
      </c>
      <c r="M21" s="1476">
        <f>+M22+M25</f>
        <v>4482000</v>
      </c>
      <c r="N21" s="1477">
        <f t="shared" si="29"/>
        <v>67952292</v>
      </c>
      <c r="O21" s="1478">
        <f t="shared" si="23"/>
        <v>66.445991928145233</v>
      </c>
      <c r="P21" s="1479">
        <f>+P22+P25</f>
        <v>0</v>
      </c>
      <c r="Q21" s="1478">
        <f t="shared" si="20"/>
        <v>0</v>
      </c>
      <c r="R21" s="1480">
        <f t="shared" si="3"/>
        <v>-5412074</v>
      </c>
      <c r="S21" s="2995"/>
      <c r="T21" s="470"/>
    </row>
    <row r="22" spans="1:24" s="1440" customFormat="1" ht="12.75" customHeight="1" x14ac:dyDescent="0.2">
      <c r="A22" s="2992"/>
      <c r="B22" s="1481" t="s">
        <v>4</v>
      </c>
      <c r="C22" s="3001"/>
      <c r="D22" s="1482">
        <f t="shared" ref="D22" si="30">+D23+D24</f>
        <v>42887000</v>
      </c>
      <c r="E22" s="1483">
        <f>+E23+E24</f>
        <v>10210000</v>
      </c>
      <c r="F22" s="1483">
        <f>+F23+F24</f>
        <v>8600000</v>
      </c>
      <c r="G22" s="1483">
        <f>+G23+G24</f>
        <v>19595000</v>
      </c>
      <c r="H22" s="1484">
        <f>+H23+H24</f>
        <v>4482000</v>
      </c>
      <c r="I22" s="1482">
        <f t="shared" ref="I22:N22" si="31">+I23+I24</f>
        <v>38196955</v>
      </c>
      <c r="J22" s="1483">
        <f>+J23+J24</f>
        <v>10210000</v>
      </c>
      <c r="K22" s="1483">
        <f>+K23+K24</f>
        <v>3909955</v>
      </c>
      <c r="L22" s="1483">
        <f>+L23+L24</f>
        <v>19595000</v>
      </c>
      <c r="M22" s="1484">
        <f>+M23+M24</f>
        <v>4482000</v>
      </c>
      <c r="N22" s="1485">
        <f t="shared" si="31"/>
        <v>14119955</v>
      </c>
      <c r="O22" s="1486">
        <f t="shared" si="23"/>
        <v>32.923624874670651</v>
      </c>
      <c r="P22" s="1487">
        <f>+P23+P24</f>
        <v>0</v>
      </c>
      <c r="Q22" s="1486">
        <f t="shared" si="20"/>
        <v>0</v>
      </c>
      <c r="R22" s="1488">
        <f t="shared" si="3"/>
        <v>-4898750</v>
      </c>
      <c r="S22" s="2995"/>
      <c r="T22" s="470"/>
    </row>
    <row r="23" spans="1:24" s="352" customFormat="1" ht="12" customHeight="1" x14ac:dyDescent="0.2">
      <c r="A23" s="2992"/>
      <c r="B23" s="1489" t="s">
        <v>8</v>
      </c>
      <c r="C23" s="3002"/>
      <c r="D23" s="1490">
        <f>D58</f>
        <v>34687000</v>
      </c>
      <c r="E23" s="1491">
        <f t="shared" ref="E23:H23" si="32">E58</f>
        <v>8065000</v>
      </c>
      <c r="F23" s="1491">
        <f t="shared" si="32"/>
        <v>6545000</v>
      </c>
      <c r="G23" s="1492">
        <f t="shared" si="32"/>
        <v>17595000</v>
      </c>
      <c r="H23" s="1493">
        <f t="shared" si="32"/>
        <v>2482000</v>
      </c>
      <c r="I23" s="1490">
        <f>I58</f>
        <v>29996955</v>
      </c>
      <c r="J23" s="1491">
        <f t="shared" ref="J23:M24" si="33">J58</f>
        <v>8065000</v>
      </c>
      <c r="K23" s="1491">
        <f t="shared" si="33"/>
        <v>1854955</v>
      </c>
      <c r="L23" s="1492">
        <f t="shared" si="33"/>
        <v>17595000</v>
      </c>
      <c r="M23" s="1493">
        <f t="shared" si="33"/>
        <v>2482000</v>
      </c>
      <c r="N23" s="1494">
        <f>N58</f>
        <v>9919955</v>
      </c>
      <c r="O23" s="1495">
        <f t="shared" si="23"/>
        <v>28.598480698820882</v>
      </c>
      <c r="P23" s="1496">
        <f>P58</f>
        <v>0</v>
      </c>
      <c r="Q23" s="1495">
        <f t="shared" si="20"/>
        <v>0</v>
      </c>
      <c r="R23" s="1497">
        <f t="shared" si="3"/>
        <v>-4398750</v>
      </c>
      <c r="S23" s="2995"/>
      <c r="T23" s="470"/>
      <c r="V23" s="470"/>
    </row>
    <row r="24" spans="1:24" s="352" customFormat="1" x14ac:dyDescent="0.2">
      <c r="A24" s="2992"/>
      <c r="B24" s="1498" t="s">
        <v>157</v>
      </c>
      <c r="C24" s="3002"/>
      <c r="D24" s="1499">
        <f>D59</f>
        <v>8200000</v>
      </c>
      <c r="E24" s="1491">
        <f t="shared" ref="E24:H24" si="34">E59</f>
        <v>2145000</v>
      </c>
      <c r="F24" s="1491">
        <f t="shared" si="34"/>
        <v>2055000</v>
      </c>
      <c r="G24" s="1500">
        <f t="shared" si="34"/>
        <v>2000000</v>
      </c>
      <c r="H24" s="1501">
        <f t="shared" si="34"/>
        <v>2000000</v>
      </c>
      <c r="I24" s="1499">
        <f>I59</f>
        <v>8200000</v>
      </c>
      <c r="J24" s="1491">
        <f t="shared" si="33"/>
        <v>2145000</v>
      </c>
      <c r="K24" s="1491">
        <f t="shared" si="33"/>
        <v>2055000</v>
      </c>
      <c r="L24" s="1500">
        <f t="shared" si="33"/>
        <v>2000000</v>
      </c>
      <c r="M24" s="1501">
        <f t="shared" si="33"/>
        <v>2000000</v>
      </c>
      <c r="N24" s="1502">
        <f>N59</f>
        <v>4200000</v>
      </c>
      <c r="O24" s="1495">
        <f t="shared" si="23"/>
        <v>51.219512195121951</v>
      </c>
      <c r="P24" s="1503">
        <f>P59</f>
        <v>0</v>
      </c>
      <c r="Q24" s="1495">
        <f t="shared" si="20"/>
        <v>0</v>
      </c>
      <c r="R24" s="1497">
        <f t="shared" si="3"/>
        <v>-500000</v>
      </c>
      <c r="S24" s="2995"/>
      <c r="T24" s="470"/>
      <c r="V24" s="470"/>
    </row>
    <row r="25" spans="1:24" s="352" customFormat="1" x14ac:dyDescent="0.2">
      <c r="A25" s="2992"/>
      <c r="B25" s="1481" t="s">
        <v>13</v>
      </c>
      <c r="C25" s="3002"/>
      <c r="D25" s="1504">
        <f t="shared" ref="D25:P25" si="35">+D26</f>
        <v>59379954</v>
      </c>
      <c r="E25" s="1505">
        <f t="shared" si="35"/>
        <v>46591793</v>
      </c>
      <c r="F25" s="1505">
        <f t="shared" si="35"/>
        <v>10734865</v>
      </c>
      <c r="G25" s="1505">
        <f t="shared" si="35"/>
        <v>2053296</v>
      </c>
      <c r="H25" s="1506">
        <f t="shared" si="35"/>
        <v>0</v>
      </c>
      <c r="I25" s="1504">
        <f t="shared" si="35"/>
        <v>55885633</v>
      </c>
      <c r="J25" s="1505">
        <f t="shared" si="35"/>
        <v>46591793</v>
      </c>
      <c r="K25" s="1505">
        <f t="shared" si="35"/>
        <v>7240544</v>
      </c>
      <c r="L25" s="1505">
        <f t="shared" si="35"/>
        <v>2053296</v>
      </c>
      <c r="M25" s="1506">
        <f t="shared" si="35"/>
        <v>0</v>
      </c>
      <c r="N25" s="1507">
        <f t="shared" si="35"/>
        <v>53832337</v>
      </c>
      <c r="O25" s="1508">
        <f t="shared" si="23"/>
        <v>90.657424557789312</v>
      </c>
      <c r="P25" s="1509">
        <f t="shared" si="35"/>
        <v>0</v>
      </c>
      <c r="Q25" s="1508">
        <f t="shared" si="20"/>
        <v>0</v>
      </c>
      <c r="R25" s="1510">
        <f t="shared" si="3"/>
        <v>-513324</v>
      </c>
      <c r="S25" s="2995"/>
      <c r="T25" s="470"/>
      <c r="V25" s="470"/>
    </row>
    <row r="26" spans="1:24" s="352" customFormat="1" ht="14.25" customHeight="1" thickBot="1" x14ac:dyDescent="0.25">
      <c r="A26" s="2993"/>
      <c r="B26" s="1511" t="s">
        <v>16</v>
      </c>
      <c r="C26" s="3003"/>
      <c r="D26" s="1512">
        <f>D36+D46</f>
        <v>59379954</v>
      </c>
      <c r="E26" s="1513">
        <f t="shared" ref="E26:H26" si="36">E36+E46</f>
        <v>46591793</v>
      </c>
      <c r="F26" s="1513">
        <f t="shared" si="36"/>
        <v>10734865</v>
      </c>
      <c r="G26" s="1513">
        <f t="shared" si="36"/>
        <v>2053296</v>
      </c>
      <c r="H26" s="1514">
        <f t="shared" si="36"/>
        <v>0</v>
      </c>
      <c r="I26" s="1512">
        <f>I36+I46</f>
        <v>55885633</v>
      </c>
      <c r="J26" s="1513">
        <f t="shared" ref="J26:M26" si="37">J36+J46</f>
        <v>46591793</v>
      </c>
      <c r="K26" s="1513">
        <f t="shared" si="37"/>
        <v>7240544</v>
      </c>
      <c r="L26" s="1513">
        <f t="shared" si="37"/>
        <v>2053296</v>
      </c>
      <c r="M26" s="1514">
        <f t="shared" si="37"/>
        <v>0</v>
      </c>
      <c r="N26" s="1515">
        <f>N36+N46</f>
        <v>53832337</v>
      </c>
      <c r="O26" s="1516">
        <f t="shared" si="23"/>
        <v>90.657424557789312</v>
      </c>
      <c r="P26" s="1517">
        <f>P36+P46</f>
        <v>0</v>
      </c>
      <c r="Q26" s="1516">
        <f t="shared" si="20"/>
        <v>0</v>
      </c>
      <c r="R26" s="1518">
        <f t="shared" si="3"/>
        <v>-513324</v>
      </c>
      <c r="S26" s="2996"/>
      <c r="T26" s="470"/>
      <c r="V26" s="470"/>
    </row>
    <row r="27" spans="1:24" s="1528" customFormat="1" ht="39" customHeight="1" x14ac:dyDescent="0.2">
      <c r="A27" s="3004" t="s">
        <v>40</v>
      </c>
      <c r="B27" s="1519" t="s">
        <v>158</v>
      </c>
      <c r="C27" s="1520" t="s">
        <v>225</v>
      </c>
      <c r="D27" s="1521"/>
      <c r="E27" s="1522"/>
      <c r="F27" s="1522"/>
      <c r="G27" s="1523"/>
      <c r="H27" s="1524"/>
      <c r="I27" s="1521"/>
      <c r="J27" s="1522"/>
      <c r="K27" s="1522"/>
      <c r="L27" s="1523"/>
      <c r="M27" s="1524"/>
      <c r="N27" s="1525"/>
      <c r="O27" s="1526"/>
      <c r="P27" s="1523"/>
      <c r="Q27" s="1526"/>
      <c r="R27" s="1527"/>
      <c r="S27" s="3007" t="s">
        <v>159</v>
      </c>
      <c r="T27" s="470"/>
    </row>
    <row r="28" spans="1:24" s="1537" customFormat="1" ht="12.75" customHeight="1" x14ac:dyDescent="0.2">
      <c r="A28" s="3005"/>
      <c r="B28" s="879" t="s">
        <v>3</v>
      </c>
      <c r="C28" s="1529"/>
      <c r="D28" s="1530">
        <f t="shared" ref="D28" si="38">+D29+D32</f>
        <v>47780648.032499999</v>
      </c>
      <c r="E28" s="1531">
        <f>+E29+E32</f>
        <v>24578359.032499999</v>
      </c>
      <c r="F28" s="1531">
        <f>+F29+F32</f>
        <v>17967040</v>
      </c>
      <c r="G28" s="1532">
        <f>+G29+G32</f>
        <v>5235249</v>
      </c>
      <c r="H28" s="1533">
        <f>+H29+H32</f>
        <v>0</v>
      </c>
      <c r="I28" s="1530">
        <f t="shared" ref="I28" si="39">+I29+I32</f>
        <v>46695394.032499999</v>
      </c>
      <c r="J28" s="1531">
        <f>+J29+J32</f>
        <v>24578359.032499999</v>
      </c>
      <c r="K28" s="1531">
        <f>+K29+K32</f>
        <v>16881786</v>
      </c>
      <c r="L28" s="1532">
        <f>+L29+L32</f>
        <v>5235249</v>
      </c>
      <c r="M28" s="1533">
        <f>+M29+M32</f>
        <v>0</v>
      </c>
      <c r="N28" s="1534">
        <f>+N29+N32</f>
        <v>41460145.032499999</v>
      </c>
      <c r="O28" s="1535">
        <f t="shared" si="23"/>
        <v>86.771834915883005</v>
      </c>
      <c r="P28" s="1532">
        <f>+P29+P32</f>
        <v>0</v>
      </c>
      <c r="Q28" s="1535">
        <f t="shared" si="20"/>
        <v>0</v>
      </c>
      <c r="R28" s="1536">
        <f t="shared" si="3"/>
        <v>-1308812.25</v>
      </c>
      <c r="S28" s="3008"/>
      <c r="T28" s="470"/>
    </row>
    <row r="29" spans="1:24" s="1537" customFormat="1" ht="12.75" customHeight="1" x14ac:dyDescent="0.2">
      <c r="A29" s="3005"/>
      <c r="B29" s="904" t="s">
        <v>18</v>
      </c>
      <c r="C29" s="3011" t="s">
        <v>160</v>
      </c>
      <c r="D29" s="1538">
        <f t="shared" ref="D29:H29" si="40">+D30+D31</f>
        <v>21515262.032499999</v>
      </c>
      <c r="E29" s="1539">
        <f t="shared" si="40"/>
        <v>11067449.032499999</v>
      </c>
      <c r="F29" s="1539">
        <f t="shared" si="40"/>
        <v>7265860</v>
      </c>
      <c r="G29" s="1539">
        <f t="shared" si="40"/>
        <v>3181953</v>
      </c>
      <c r="H29" s="803">
        <f t="shared" si="40"/>
        <v>0</v>
      </c>
      <c r="I29" s="1538">
        <f t="shared" ref="I29:M29" si="41">+I30+I31</f>
        <v>23890644.032499999</v>
      </c>
      <c r="J29" s="1539">
        <f t="shared" si="41"/>
        <v>11067449.032499999</v>
      </c>
      <c r="K29" s="1539">
        <f t="shared" si="41"/>
        <v>9641242</v>
      </c>
      <c r="L29" s="1540">
        <f t="shared" si="41"/>
        <v>3181953</v>
      </c>
      <c r="M29" s="803">
        <f t="shared" si="41"/>
        <v>0</v>
      </c>
      <c r="N29" s="1541">
        <f>SUM(N30:N31)</f>
        <v>20708691.032499999</v>
      </c>
      <c r="O29" s="1542">
        <f t="shared" si="23"/>
        <v>96.251168129945938</v>
      </c>
      <c r="P29" s="1539">
        <f>+P30+P31</f>
        <v>0</v>
      </c>
      <c r="Q29" s="1542">
        <f t="shared" si="20"/>
        <v>0</v>
      </c>
      <c r="R29" s="1543">
        <f t="shared" si="3"/>
        <v>-795488.25</v>
      </c>
      <c r="S29" s="3009"/>
      <c r="T29" s="470"/>
    </row>
    <row r="30" spans="1:24" s="1537" customFormat="1" ht="12.75" customHeight="1" x14ac:dyDescent="0.2">
      <c r="A30" s="3005"/>
      <c r="B30" s="1544" t="s">
        <v>161</v>
      </c>
      <c r="C30" s="3012"/>
      <c r="D30" s="1545">
        <f>+E30+F30+G30+H30</f>
        <v>8054143</v>
      </c>
      <c r="E30" s="1546">
        <f>1028059+100000+3639753</f>
        <v>4767812</v>
      </c>
      <c r="F30" s="1546">
        <v>1953935</v>
      </c>
      <c r="G30" s="1547">
        <v>1332396</v>
      </c>
      <c r="H30" s="1548">
        <v>0</v>
      </c>
      <c r="I30" s="1545">
        <f>+J30+K30+L30+M30</f>
        <v>10429525</v>
      </c>
      <c r="J30" s="1546">
        <f>1028059+100000+3639753</f>
        <v>4767812</v>
      </c>
      <c r="K30" s="1546">
        <v>4329317</v>
      </c>
      <c r="L30" s="1547">
        <v>1332396</v>
      </c>
      <c r="M30" s="1548">
        <v>0</v>
      </c>
      <c r="N30" s="1545">
        <f>+P30+K30+J30</f>
        <v>9097129</v>
      </c>
      <c r="O30" s="1549">
        <f t="shared" si="23"/>
        <v>112.9496831630628</v>
      </c>
      <c r="P30" s="1550">
        <v>0</v>
      </c>
      <c r="Q30" s="1549">
        <f t="shared" si="20"/>
        <v>0</v>
      </c>
      <c r="R30" s="1551">
        <f t="shared" si="3"/>
        <v>-333099</v>
      </c>
      <c r="S30" s="3009"/>
      <c r="T30" s="470"/>
    </row>
    <row r="31" spans="1:24" s="1537" customFormat="1" ht="12.75" customHeight="1" x14ac:dyDescent="0.2">
      <c r="A31" s="3005"/>
      <c r="B31" s="1552" t="s">
        <v>6</v>
      </c>
      <c r="C31" s="3012"/>
      <c r="D31" s="1553">
        <f>+E31+F31+G31+H31</f>
        <v>13461119.032499999</v>
      </c>
      <c r="E31" s="1546">
        <f>675000.03+1795097.0025+3829540</f>
        <v>6299637.0324999997</v>
      </c>
      <c r="F31" s="1546">
        <v>5311925</v>
      </c>
      <c r="G31" s="1546">
        <v>1849557</v>
      </c>
      <c r="H31" s="1554">
        <v>0</v>
      </c>
      <c r="I31" s="1553">
        <f>+J31+K31+L31+M31</f>
        <v>13461119.032499999</v>
      </c>
      <c r="J31" s="1546">
        <f>675000.03+1795097.0025+3829540</f>
        <v>6299637.0324999997</v>
      </c>
      <c r="K31" s="1546">
        <v>5311925</v>
      </c>
      <c r="L31" s="1546">
        <v>1849557</v>
      </c>
      <c r="M31" s="1554">
        <v>0</v>
      </c>
      <c r="N31" s="1545">
        <f>+P31+K31+J31</f>
        <v>11611562.032499999</v>
      </c>
      <c r="O31" s="1555">
        <f t="shared" si="23"/>
        <v>86.260005609232763</v>
      </c>
      <c r="P31" s="1556">
        <v>0</v>
      </c>
      <c r="Q31" s="1555">
        <f t="shared" si="20"/>
        <v>0</v>
      </c>
      <c r="R31" s="1551">
        <f t="shared" si="3"/>
        <v>-462389.25</v>
      </c>
      <c r="S31" s="3009"/>
      <c r="T31" s="470"/>
    </row>
    <row r="32" spans="1:24" s="1537" customFormat="1" ht="12.75" customHeight="1" x14ac:dyDescent="0.2">
      <c r="A32" s="3005"/>
      <c r="B32" s="795" t="s">
        <v>13</v>
      </c>
      <c r="C32" s="3012"/>
      <c r="D32" s="1557">
        <f t="shared" ref="D32:N32" si="42">+D33</f>
        <v>26265386</v>
      </c>
      <c r="E32" s="1558">
        <f t="shared" si="42"/>
        <v>13510910</v>
      </c>
      <c r="F32" s="1558">
        <f t="shared" si="42"/>
        <v>10701180</v>
      </c>
      <c r="G32" s="1559">
        <f t="shared" si="42"/>
        <v>2053296</v>
      </c>
      <c r="H32" s="1560">
        <f t="shared" si="42"/>
        <v>0</v>
      </c>
      <c r="I32" s="1557">
        <f t="shared" si="42"/>
        <v>22804750</v>
      </c>
      <c r="J32" s="1558">
        <f t="shared" si="42"/>
        <v>13510910</v>
      </c>
      <c r="K32" s="1558">
        <f t="shared" si="42"/>
        <v>7240544</v>
      </c>
      <c r="L32" s="1559">
        <f t="shared" si="42"/>
        <v>2053296</v>
      </c>
      <c r="M32" s="1560">
        <f t="shared" si="42"/>
        <v>0</v>
      </c>
      <c r="N32" s="1561">
        <f t="shared" si="42"/>
        <v>20751454</v>
      </c>
      <c r="O32" s="1562">
        <f t="shared" si="23"/>
        <v>79.006849547156861</v>
      </c>
      <c r="P32" s="1563">
        <f>+P33</f>
        <v>0</v>
      </c>
      <c r="Q32" s="1562">
        <f t="shared" si="20"/>
        <v>0</v>
      </c>
      <c r="R32" s="1564">
        <f t="shared" si="3"/>
        <v>-513324</v>
      </c>
      <c r="S32" s="3009"/>
      <c r="T32" s="470"/>
    </row>
    <row r="33" spans="1:20" s="1537" customFormat="1" ht="12.75" customHeight="1" x14ac:dyDescent="0.2">
      <c r="A33" s="3005"/>
      <c r="B33" s="1565" t="s">
        <v>16</v>
      </c>
      <c r="C33" s="3013"/>
      <c r="D33" s="1545">
        <f>+E33+F33+G33+H33</f>
        <v>26265386</v>
      </c>
      <c r="E33" s="1546">
        <f>3928803+9582107</f>
        <v>13510910</v>
      </c>
      <c r="F33" s="1546">
        <v>10701180</v>
      </c>
      <c r="G33" s="1566">
        <v>2053296</v>
      </c>
      <c r="H33" s="1567">
        <v>0</v>
      </c>
      <c r="I33" s="1545">
        <f>+J33+K33+L33+M33</f>
        <v>22804750</v>
      </c>
      <c r="J33" s="1546">
        <f>3928803+9582107</f>
        <v>13510910</v>
      </c>
      <c r="K33" s="1546">
        <v>7240544</v>
      </c>
      <c r="L33" s="1566">
        <v>2053296</v>
      </c>
      <c r="M33" s="1567">
        <v>0</v>
      </c>
      <c r="N33" s="1568">
        <f>J33+K33+P33</f>
        <v>20751454</v>
      </c>
      <c r="O33" s="1549">
        <f t="shared" si="23"/>
        <v>79.006849547156861</v>
      </c>
      <c r="P33" s="1556">
        <v>0</v>
      </c>
      <c r="Q33" s="1549">
        <f t="shared" si="20"/>
        <v>0</v>
      </c>
      <c r="R33" s="1569">
        <f t="shared" si="3"/>
        <v>-513324</v>
      </c>
      <c r="S33" s="3009"/>
      <c r="T33" s="470"/>
    </row>
    <row r="34" spans="1:20" s="1537" customFormat="1" ht="12.75" customHeight="1" x14ac:dyDescent="0.2">
      <c r="A34" s="3005"/>
      <c r="B34" s="1570" t="s">
        <v>17</v>
      </c>
      <c r="C34" s="1571"/>
      <c r="D34" s="1530">
        <f>+D35</f>
        <v>26265386</v>
      </c>
      <c r="E34" s="1531">
        <f>+E35</f>
        <v>13510910</v>
      </c>
      <c r="F34" s="1531">
        <f>F35</f>
        <v>10701180</v>
      </c>
      <c r="G34" s="1531">
        <f>G35</f>
        <v>2053296</v>
      </c>
      <c r="H34" s="1533">
        <f>H35</f>
        <v>0</v>
      </c>
      <c r="I34" s="1530">
        <f>+I35</f>
        <v>22804750</v>
      </c>
      <c r="J34" s="1531">
        <f>+J35</f>
        <v>13510910</v>
      </c>
      <c r="K34" s="1531">
        <f>K35</f>
        <v>7240544</v>
      </c>
      <c r="L34" s="1531">
        <f>L35</f>
        <v>2053296</v>
      </c>
      <c r="M34" s="1533">
        <f>M35</f>
        <v>0</v>
      </c>
      <c r="N34" s="1534">
        <f>N35</f>
        <v>20751454</v>
      </c>
      <c r="O34" s="1535">
        <f t="shared" si="23"/>
        <v>79.006849547156861</v>
      </c>
      <c r="P34" s="1532">
        <f>P36</f>
        <v>0</v>
      </c>
      <c r="Q34" s="1535">
        <f t="shared" si="20"/>
        <v>0</v>
      </c>
      <c r="R34" s="1536">
        <f t="shared" si="3"/>
        <v>-513324</v>
      </c>
      <c r="S34" s="3009"/>
      <c r="T34" s="470"/>
    </row>
    <row r="35" spans="1:20" s="1537" customFormat="1" ht="12.75" customHeight="1" x14ac:dyDescent="0.2">
      <c r="A35" s="3005"/>
      <c r="B35" s="795" t="s">
        <v>13</v>
      </c>
      <c r="C35" s="3014" t="s">
        <v>162</v>
      </c>
      <c r="D35" s="1557">
        <f>+D36</f>
        <v>26265386</v>
      </c>
      <c r="E35" s="1558">
        <f>+E36</f>
        <v>13510910</v>
      </c>
      <c r="F35" s="1558">
        <f>+F36</f>
        <v>10701180</v>
      </c>
      <c r="G35" s="1559">
        <f>+G36</f>
        <v>2053296</v>
      </c>
      <c r="H35" s="1572">
        <f>+H36</f>
        <v>0</v>
      </c>
      <c r="I35" s="1557">
        <f>+I36</f>
        <v>22804750</v>
      </c>
      <c r="J35" s="1558">
        <f>+J36</f>
        <v>13510910</v>
      </c>
      <c r="K35" s="1558">
        <f>+K36</f>
        <v>7240544</v>
      </c>
      <c r="L35" s="1559">
        <f>+L36</f>
        <v>2053296</v>
      </c>
      <c r="M35" s="1572">
        <f>+M36</f>
        <v>0</v>
      </c>
      <c r="N35" s="1557">
        <f>+N36</f>
        <v>20751454</v>
      </c>
      <c r="O35" s="1562">
        <f t="shared" si="23"/>
        <v>79.006849547156861</v>
      </c>
      <c r="P35" s="1558">
        <f>+P36</f>
        <v>0</v>
      </c>
      <c r="Q35" s="1562">
        <f t="shared" si="20"/>
        <v>0</v>
      </c>
      <c r="R35" s="1564">
        <f t="shared" si="3"/>
        <v>-513324</v>
      </c>
      <c r="S35" s="3009"/>
      <c r="T35" s="470"/>
    </row>
    <row r="36" spans="1:20" s="1537" customFormat="1" ht="12.75" customHeight="1" thickBot="1" x14ac:dyDescent="0.25">
      <c r="A36" s="3006"/>
      <c r="B36" s="717" t="s">
        <v>16</v>
      </c>
      <c r="C36" s="3015"/>
      <c r="D36" s="1573">
        <f>+E36+F36+G36+H36</f>
        <v>26265386</v>
      </c>
      <c r="E36" s="1546">
        <f>3928803+9582107</f>
        <v>13510910</v>
      </c>
      <c r="F36" s="1574">
        <v>10701180</v>
      </c>
      <c r="G36" s="1575">
        <v>2053296</v>
      </c>
      <c r="H36" s="1567">
        <v>0</v>
      </c>
      <c r="I36" s="1573">
        <f>+J36+K36+L36+M36</f>
        <v>22804750</v>
      </c>
      <c r="J36" s="1546">
        <f>3928803+9582107</f>
        <v>13510910</v>
      </c>
      <c r="K36" s="1574">
        <v>7240544</v>
      </c>
      <c r="L36" s="1575">
        <v>2053296</v>
      </c>
      <c r="M36" s="1567">
        <v>0</v>
      </c>
      <c r="N36" s="1573">
        <f>+P36+K36+J36</f>
        <v>20751454</v>
      </c>
      <c r="O36" s="1576">
        <f t="shared" si="23"/>
        <v>79.006849547156861</v>
      </c>
      <c r="P36" s="1575">
        <v>0</v>
      </c>
      <c r="Q36" s="1576">
        <f t="shared" si="20"/>
        <v>0</v>
      </c>
      <c r="R36" s="1569">
        <f t="shared" si="3"/>
        <v>-513324</v>
      </c>
      <c r="S36" s="3010"/>
      <c r="T36" s="470"/>
    </row>
    <row r="37" spans="1:20" s="1537" customFormat="1" ht="66" customHeight="1" x14ac:dyDescent="0.2">
      <c r="A37" s="3004" t="s">
        <v>43</v>
      </c>
      <c r="B37" s="1577" t="s">
        <v>163</v>
      </c>
      <c r="C37" s="1520" t="s">
        <v>225</v>
      </c>
      <c r="D37" s="1578"/>
      <c r="E37" s="1579"/>
      <c r="F37" s="1579"/>
      <c r="G37" s="1580"/>
      <c r="H37" s="1581"/>
      <c r="I37" s="1578"/>
      <c r="J37" s="1579"/>
      <c r="K37" s="1579"/>
      <c r="L37" s="1580"/>
      <c r="M37" s="1581"/>
      <c r="N37" s="1582"/>
      <c r="O37" s="1583"/>
      <c r="P37" s="1584"/>
      <c r="Q37" s="1583"/>
      <c r="R37" s="1585"/>
      <c r="S37" s="3007" t="s">
        <v>164</v>
      </c>
      <c r="T37" s="470"/>
    </row>
    <row r="38" spans="1:20" s="1537" customFormat="1" x14ac:dyDescent="0.2">
      <c r="A38" s="3005"/>
      <c r="B38" s="1586" t="s">
        <v>3</v>
      </c>
      <c r="C38" s="1587"/>
      <c r="D38" s="1530">
        <f t="shared" ref="D38:H38" si="43">+D39+D42</f>
        <v>81560000</v>
      </c>
      <c r="E38" s="1531">
        <f t="shared" si="43"/>
        <v>78377528</v>
      </c>
      <c r="F38" s="1531">
        <f t="shared" si="43"/>
        <v>2266841</v>
      </c>
      <c r="G38" s="1531">
        <f t="shared" si="43"/>
        <v>915631</v>
      </c>
      <c r="H38" s="1533">
        <f t="shared" si="43"/>
        <v>0</v>
      </c>
      <c r="I38" s="1530">
        <f t="shared" ref="I38:M38" si="44">+I39+I42</f>
        <v>81482000</v>
      </c>
      <c r="J38" s="1531">
        <f t="shared" si="44"/>
        <v>78377528</v>
      </c>
      <c r="K38" s="1531">
        <f t="shared" si="44"/>
        <v>2188841</v>
      </c>
      <c r="L38" s="1531">
        <f t="shared" si="44"/>
        <v>915631</v>
      </c>
      <c r="M38" s="1533">
        <f t="shared" si="44"/>
        <v>0</v>
      </c>
      <c r="N38" s="1588">
        <f>N39+N42</f>
        <v>81482000</v>
      </c>
      <c r="O38" s="1589">
        <f t="shared" si="23"/>
        <v>99.904364884747423</v>
      </c>
      <c r="P38" s="1590">
        <f>+P39+P42</f>
        <v>915631</v>
      </c>
      <c r="Q38" s="1589">
        <f t="shared" si="20"/>
        <v>100</v>
      </c>
      <c r="R38" s="1536">
        <f t="shared" si="3"/>
        <v>686723.25</v>
      </c>
      <c r="S38" s="3008"/>
      <c r="T38" s="470"/>
    </row>
    <row r="39" spans="1:20" s="1537" customFormat="1" ht="11.25" customHeight="1" x14ac:dyDescent="0.2">
      <c r="A39" s="3005"/>
      <c r="B39" s="1591" t="s">
        <v>18</v>
      </c>
      <c r="C39" s="3011" t="s">
        <v>160</v>
      </c>
      <c r="D39" s="1592">
        <f t="shared" ref="D39:H39" si="45">+D40+D41</f>
        <v>48445432</v>
      </c>
      <c r="E39" s="1593">
        <f t="shared" si="45"/>
        <v>45296645</v>
      </c>
      <c r="F39" s="1593">
        <f t="shared" si="45"/>
        <v>2233156</v>
      </c>
      <c r="G39" s="1593">
        <f t="shared" si="45"/>
        <v>915631</v>
      </c>
      <c r="H39" s="1594">
        <f t="shared" si="45"/>
        <v>0</v>
      </c>
      <c r="I39" s="1592">
        <f t="shared" ref="I39:M39" si="46">+I40+I41</f>
        <v>48401117</v>
      </c>
      <c r="J39" s="1593">
        <f t="shared" si="46"/>
        <v>45296645</v>
      </c>
      <c r="K39" s="1593">
        <f t="shared" si="46"/>
        <v>2188841</v>
      </c>
      <c r="L39" s="1593">
        <f t="shared" si="46"/>
        <v>915631</v>
      </c>
      <c r="M39" s="1594">
        <f t="shared" si="46"/>
        <v>0</v>
      </c>
      <c r="N39" s="1595">
        <f>N40+N41</f>
        <v>48401117</v>
      </c>
      <c r="O39" s="1596">
        <f t="shared" si="23"/>
        <v>99.908525947296738</v>
      </c>
      <c r="P39" s="1597">
        <f>+P40+P41</f>
        <v>915631</v>
      </c>
      <c r="Q39" s="1596">
        <f t="shared" si="20"/>
        <v>100</v>
      </c>
      <c r="R39" s="1598">
        <f t="shared" si="3"/>
        <v>686723.25</v>
      </c>
      <c r="S39" s="3009"/>
      <c r="T39" s="470"/>
    </row>
    <row r="40" spans="1:20" s="1537" customFormat="1" x14ac:dyDescent="0.2">
      <c r="A40" s="3005"/>
      <c r="B40" s="1599" t="s">
        <v>161</v>
      </c>
      <c r="C40" s="3012"/>
      <c r="D40" s="1545">
        <f>+E40+F40+G40+H40</f>
        <v>31465432</v>
      </c>
      <c r="E40" s="1546">
        <f>730215+13244005+17446897</f>
        <v>31421117</v>
      </c>
      <c r="F40" s="1546">
        <v>44315</v>
      </c>
      <c r="G40" s="1600">
        <v>0</v>
      </c>
      <c r="H40" s="1548">
        <v>0</v>
      </c>
      <c r="I40" s="1545">
        <f>+J40+K40+L40+M40</f>
        <v>31421117</v>
      </c>
      <c r="J40" s="1546">
        <f>730215+13244005+17446897</f>
        <v>31421117</v>
      </c>
      <c r="K40" s="1546">
        <v>0</v>
      </c>
      <c r="L40" s="1600">
        <v>0</v>
      </c>
      <c r="M40" s="1548">
        <v>0</v>
      </c>
      <c r="N40" s="1601">
        <f>+P40+K40+J40</f>
        <v>31421117</v>
      </c>
      <c r="O40" s="1602">
        <f t="shared" si="23"/>
        <v>99.859162906137755</v>
      </c>
      <c r="P40" s="1603">
        <v>0</v>
      </c>
      <c r="Q40" s="1603">
        <v>0</v>
      </c>
      <c r="R40" s="1604">
        <f t="shared" si="3"/>
        <v>0</v>
      </c>
      <c r="S40" s="3009"/>
      <c r="T40" s="470"/>
    </row>
    <row r="41" spans="1:20" s="1537" customFormat="1" ht="12" customHeight="1" x14ac:dyDescent="0.2">
      <c r="A41" s="3005"/>
      <c r="B41" s="1552" t="s">
        <v>6</v>
      </c>
      <c r="C41" s="3012"/>
      <c r="D41" s="1545">
        <f>+E41+F41+G41+H41</f>
        <v>16980000</v>
      </c>
      <c r="E41" s="1546">
        <f>2805880+4941171+6128477</f>
        <v>13875528</v>
      </c>
      <c r="F41" s="1550">
        <v>2188841</v>
      </c>
      <c r="G41" s="1546">
        <v>915631</v>
      </c>
      <c r="H41" s="1605">
        <v>0</v>
      </c>
      <c r="I41" s="1545">
        <f>+J41+K41+L41+M41</f>
        <v>16980000</v>
      </c>
      <c r="J41" s="1546">
        <f>2805880+4941171+6128477</f>
        <v>13875528</v>
      </c>
      <c r="K41" s="1550">
        <v>2188841</v>
      </c>
      <c r="L41" s="1546">
        <v>915631</v>
      </c>
      <c r="M41" s="1605">
        <v>0</v>
      </c>
      <c r="N41" s="1601">
        <f>+P41+K41+J41</f>
        <v>16980000</v>
      </c>
      <c r="O41" s="1602">
        <f t="shared" si="23"/>
        <v>100</v>
      </c>
      <c r="P41" s="1606">
        <v>915631</v>
      </c>
      <c r="Q41" s="1602">
        <f t="shared" si="20"/>
        <v>100</v>
      </c>
      <c r="R41" s="1551">
        <f t="shared" si="3"/>
        <v>686723.25</v>
      </c>
      <c r="S41" s="3009"/>
      <c r="T41" s="470"/>
    </row>
    <row r="42" spans="1:20" s="1537" customFormat="1" ht="12.75" customHeight="1" x14ac:dyDescent="0.2">
      <c r="A42" s="3005"/>
      <c r="B42" s="795" t="s">
        <v>13</v>
      </c>
      <c r="C42" s="3012"/>
      <c r="D42" s="1607">
        <f t="shared" ref="D42:N42" si="47">+D43</f>
        <v>33114568</v>
      </c>
      <c r="E42" s="1558">
        <f t="shared" si="47"/>
        <v>33080883</v>
      </c>
      <c r="F42" s="1558">
        <f t="shared" si="47"/>
        <v>33685</v>
      </c>
      <c r="G42" s="1608">
        <f t="shared" si="47"/>
        <v>0</v>
      </c>
      <c r="H42" s="1609">
        <f t="shared" si="47"/>
        <v>0</v>
      </c>
      <c r="I42" s="1607">
        <f t="shared" si="47"/>
        <v>33080883</v>
      </c>
      <c r="J42" s="1558">
        <f t="shared" si="47"/>
        <v>33080883</v>
      </c>
      <c r="K42" s="1558">
        <f t="shared" si="47"/>
        <v>0</v>
      </c>
      <c r="L42" s="1608">
        <f t="shared" si="47"/>
        <v>0</v>
      </c>
      <c r="M42" s="1609">
        <f t="shared" si="47"/>
        <v>0</v>
      </c>
      <c r="N42" s="1610">
        <f t="shared" si="47"/>
        <v>33080883</v>
      </c>
      <c r="O42" s="1611">
        <f t="shared" si="23"/>
        <v>99.898277398636154</v>
      </c>
      <c r="P42" s="1612">
        <f>+P43</f>
        <v>0</v>
      </c>
      <c r="Q42" s="1613">
        <v>0</v>
      </c>
      <c r="R42" s="1614">
        <f t="shared" si="3"/>
        <v>0</v>
      </c>
      <c r="S42" s="3009"/>
      <c r="T42" s="470"/>
    </row>
    <row r="43" spans="1:20" s="1537" customFormat="1" ht="12" customHeight="1" x14ac:dyDescent="0.2">
      <c r="A43" s="3005"/>
      <c r="B43" s="1615" t="s">
        <v>16</v>
      </c>
      <c r="C43" s="3013"/>
      <c r="D43" s="1553">
        <f>+E43+F43+G43+H43</f>
        <v>33114568</v>
      </c>
      <c r="E43" s="1546">
        <f>14397470+18683413</f>
        <v>33080883</v>
      </c>
      <c r="F43" s="1546">
        <v>33685</v>
      </c>
      <c r="G43" s="1600">
        <v>0</v>
      </c>
      <c r="H43" s="1605">
        <v>0</v>
      </c>
      <c r="I43" s="1553">
        <f>+J43+K43+L43+M43</f>
        <v>33080883</v>
      </c>
      <c r="J43" s="1546">
        <f>14397470+18683413</f>
        <v>33080883</v>
      </c>
      <c r="K43" s="1546">
        <v>0</v>
      </c>
      <c r="L43" s="1600">
        <v>0</v>
      </c>
      <c r="M43" s="1605">
        <v>0</v>
      </c>
      <c r="N43" s="1601">
        <f>+P43+K43+J43</f>
        <v>33080883</v>
      </c>
      <c r="O43" s="1602">
        <f t="shared" si="23"/>
        <v>99.898277398636154</v>
      </c>
      <c r="P43" s="1603">
        <v>0</v>
      </c>
      <c r="Q43" s="1603">
        <v>0</v>
      </c>
      <c r="R43" s="1616">
        <f t="shared" si="3"/>
        <v>0</v>
      </c>
      <c r="S43" s="3009"/>
      <c r="T43" s="470"/>
    </row>
    <row r="44" spans="1:20" s="1537" customFormat="1" x14ac:dyDescent="0.2">
      <c r="A44" s="3005"/>
      <c r="B44" s="1586" t="s">
        <v>17</v>
      </c>
      <c r="C44" s="1587"/>
      <c r="D44" s="1534">
        <f t="shared" ref="D44:M44" si="48">D45</f>
        <v>33114568</v>
      </c>
      <c r="E44" s="1531">
        <f t="shared" si="48"/>
        <v>33080883</v>
      </c>
      <c r="F44" s="1531">
        <f t="shared" si="48"/>
        <v>33685</v>
      </c>
      <c r="G44" s="927">
        <f t="shared" si="48"/>
        <v>0</v>
      </c>
      <c r="H44" s="1617">
        <f t="shared" si="48"/>
        <v>0</v>
      </c>
      <c r="I44" s="1534">
        <f t="shared" si="48"/>
        <v>33114568</v>
      </c>
      <c r="J44" s="1531">
        <f t="shared" si="48"/>
        <v>33080883</v>
      </c>
      <c r="K44" s="1531">
        <f t="shared" si="48"/>
        <v>0</v>
      </c>
      <c r="L44" s="927">
        <f t="shared" si="48"/>
        <v>0</v>
      </c>
      <c r="M44" s="1617">
        <f t="shared" si="48"/>
        <v>0</v>
      </c>
      <c r="N44" s="1618">
        <f>+N45</f>
        <v>33080883</v>
      </c>
      <c r="O44" s="1619">
        <f t="shared" si="23"/>
        <v>99.898277398636154</v>
      </c>
      <c r="P44" s="827">
        <f>P46</f>
        <v>0</v>
      </c>
      <c r="Q44" s="827">
        <v>0</v>
      </c>
      <c r="R44" s="1620">
        <f t="shared" si="3"/>
        <v>0</v>
      </c>
      <c r="S44" s="3009"/>
      <c r="T44" s="470"/>
    </row>
    <row r="45" spans="1:20" s="1537" customFormat="1" ht="13.5" customHeight="1" x14ac:dyDescent="0.2">
      <c r="A45" s="3005"/>
      <c r="B45" s="1621" t="s">
        <v>13</v>
      </c>
      <c r="C45" s="3014" t="s">
        <v>162</v>
      </c>
      <c r="D45" s="1557">
        <v>33114568</v>
      </c>
      <c r="E45" s="1558">
        <f>+E46</f>
        <v>33080883</v>
      </c>
      <c r="F45" s="1558">
        <f>+F46</f>
        <v>33685</v>
      </c>
      <c r="G45" s="1608">
        <f>+G46</f>
        <v>0</v>
      </c>
      <c r="H45" s="1608">
        <f>+H46</f>
        <v>0</v>
      </c>
      <c r="I45" s="1557">
        <v>33114568</v>
      </c>
      <c r="J45" s="1558">
        <f>+J46</f>
        <v>33080883</v>
      </c>
      <c r="K45" s="1558">
        <f>+K46</f>
        <v>0</v>
      </c>
      <c r="L45" s="1608">
        <f>+L46</f>
        <v>0</v>
      </c>
      <c r="M45" s="1608">
        <f>+M46</f>
        <v>0</v>
      </c>
      <c r="N45" s="1622">
        <f>+N46</f>
        <v>33080883</v>
      </c>
      <c r="O45" s="1602">
        <f t="shared" si="23"/>
        <v>99.898277398636154</v>
      </c>
      <c r="P45" s="1612">
        <f>+P46</f>
        <v>0</v>
      </c>
      <c r="Q45" s="1603">
        <v>0</v>
      </c>
      <c r="R45" s="1614">
        <f t="shared" si="3"/>
        <v>0</v>
      </c>
      <c r="S45" s="3009"/>
      <c r="T45" s="470"/>
    </row>
    <row r="46" spans="1:20" s="1537" customFormat="1" ht="13.5" thickBot="1" x14ac:dyDescent="0.25">
      <c r="A46" s="3006"/>
      <c r="B46" s="717" t="s">
        <v>16</v>
      </c>
      <c r="C46" s="3015"/>
      <c r="D46" s="1623">
        <f>+E46+F46+G46+H46</f>
        <v>33114568</v>
      </c>
      <c r="E46" s="1574">
        <f>14397470+18683413</f>
        <v>33080883</v>
      </c>
      <c r="F46" s="1574">
        <v>33685</v>
      </c>
      <c r="G46" s="1624">
        <v>0</v>
      </c>
      <c r="H46" s="1625">
        <v>0</v>
      </c>
      <c r="I46" s="1623">
        <f>+J46+K46+L46+M46</f>
        <v>33080883</v>
      </c>
      <c r="J46" s="1574">
        <f>14397470+18683413</f>
        <v>33080883</v>
      </c>
      <c r="K46" s="1574">
        <v>0</v>
      </c>
      <c r="L46" s="1624">
        <v>0</v>
      </c>
      <c r="M46" s="1625">
        <v>0</v>
      </c>
      <c r="N46" s="1626">
        <f>+P46+K46+J46</f>
        <v>33080883</v>
      </c>
      <c r="O46" s="1627">
        <f t="shared" si="23"/>
        <v>99.898277398636154</v>
      </c>
      <c r="P46" s="1628">
        <v>0</v>
      </c>
      <c r="Q46" s="1629">
        <v>0</v>
      </c>
      <c r="R46" s="1630">
        <f t="shared" si="3"/>
        <v>0</v>
      </c>
      <c r="S46" s="3010"/>
      <c r="T46" s="470"/>
    </row>
    <row r="47" spans="1:20" s="1537" customFormat="1" ht="41.25" customHeight="1" x14ac:dyDescent="0.2">
      <c r="A47" s="3016" t="s">
        <v>48</v>
      </c>
      <c r="B47" s="1519" t="s">
        <v>166</v>
      </c>
      <c r="C47" s="1520" t="s">
        <v>225</v>
      </c>
      <c r="D47" s="1578"/>
      <c r="E47" s="1579"/>
      <c r="F47" s="1579"/>
      <c r="G47" s="1580"/>
      <c r="H47" s="1581"/>
      <c r="I47" s="1578"/>
      <c r="J47" s="1579"/>
      <c r="K47" s="1579"/>
      <c r="L47" s="1580"/>
      <c r="M47" s="1581"/>
      <c r="N47" s="1582"/>
      <c r="O47" s="1631"/>
      <c r="P47" s="1632"/>
      <c r="Q47" s="1631"/>
      <c r="R47" s="1585"/>
      <c r="S47" s="3007" t="s">
        <v>167</v>
      </c>
      <c r="T47" s="470"/>
    </row>
    <row r="48" spans="1:20" s="1537" customFormat="1" ht="13.5" customHeight="1" x14ac:dyDescent="0.2">
      <c r="A48" s="3017"/>
      <c r="B48" s="1586" t="s">
        <v>3</v>
      </c>
      <c r="C48" s="1587"/>
      <c r="D48" s="1530">
        <f>+D49+D54</f>
        <v>69439000</v>
      </c>
      <c r="E48" s="1531">
        <f>+E49+E54</f>
        <v>16340000</v>
      </c>
      <c r="F48" s="1532">
        <f>+F49+F54</f>
        <v>16145000</v>
      </c>
      <c r="G48" s="1532">
        <f>+G49</f>
        <v>31990000</v>
      </c>
      <c r="H48" s="1633">
        <f>+H49</f>
        <v>4964000</v>
      </c>
      <c r="I48" s="1530">
        <f>+I49+I54</f>
        <v>62506462</v>
      </c>
      <c r="J48" s="1531">
        <f>+J49+J54</f>
        <v>16340000</v>
      </c>
      <c r="K48" s="1532">
        <f>+K49+K54</f>
        <v>9212462</v>
      </c>
      <c r="L48" s="1532">
        <f>+L49</f>
        <v>31990000</v>
      </c>
      <c r="M48" s="1633">
        <f>+M49</f>
        <v>4964000</v>
      </c>
      <c r="N48" s="1588">
        <f>+N49+N54</f>
        <v>30149962</v>
      </c>
      <c r="O48" s="1619">
        <f t="shared" si="23"/>
        <v>43.419349356989592</v>
      </c>
      <c r="P48" s="1634">
        <f>+P49+P54</f>
        <v>4597500</v>
      </c>
      <c r="Q48" s="1619">
        <f t="shared" si="20"/>
        <v>14.371678649577992</v>
      </c>
      <c r="R48" s="1635">
        <f t="shared" si="3"/>
        <v>-3400000</v>
      </c>
      <c r="S48" s="3008"/>
      <c r="T48" s="470"/>
    </row>
    <row r="49" spans="1:20" s="1537" customFormat="1" ht="13.5" customHeight="1" x14ac:dyDescent="0.2">
      <c r="A49" s="3017"/>
      <c r="B49" s="904" t="s">
        <v>18</v>
      </c>
      <c r="C49" s="3019" t="s">
        <v>160</v>
      </c>
      <c r="D49" s="1538">
        <f>SUM(D50:D53)</f>
        <v>69439000</v>
      </c>
      <c r="E49" s="1539">
        <f>+E50+E51+E52+E53</f>
        <v>16340000</v>
      </c>
      <c r="F49" s="1540">
        <f>+F50+F51+F52+F53</f>
        <v>16145000</v>
      </c>
      <c r="G49" s="1540">
        <f>SUM(G50:G53)</f>
        <v>31990000</v>
      </c>
      <c r="H49" s="1636">
        <f>SUM(H50:H53)</f>
        <v>4964000</v>
      </c>
      <c r="I49" s="1538">
        <f>SUM(I50:I53)</f>
        <v>62506462</v>
      </c>
      <c r="J49" s="1539">
        <f>+J50+J51+J52+J53</f>
        <v>16340000</v>
      </c>
      <c r="K49" s="1540">
        <f>+K50+K51+K52+K53</f>
        <v>9212462</v>
      </c>
      <c r="L49" s="1540">
        <f>SUM(L50:L53)</f>
        <v>31990000</v>
      </c>
      <c r="M49" s="1636">
        <f>SUM(M50:M53)</f>
        <v>4964000</v>
      </c>
      <c r="N49" s="1637">
        <f>+N50+N51+N52+N53</f>
        <v>30149962</v>
      </c>
      <c r="O49" s="1638">
        <f t="shared" si="23"/>
        <v>43.419349356989592</v>
      </c>
      <c r="P49" s="1639">
        <f>+P50+P51+P52+P53</f>
        <v>4597500</v>
      </c>
      <c r="Q49" s="1638">
        <f t="shared" si="20"/>
        <v>14.371678649577992</v>
      </c>
      <c r="R49" s="1640">
        <f t="shared" si="3"/>
        <v>-3400000</v>
      </c>
      <c r="S49" s="3008"/>
      <c r="T49" s="470"/>
    </row>
    <row r="50" spans="1:20" s="1537" customFormat="1" ht="13.5" customHeight="1" x14ac:dyDescent="0.2">
      <c r="A50" s="3017"/>
      <c r="B50" s="1641" t="s">
        <v>161</v>
      </c>
      <c r="C50" s="3020"/>
      <c r="D50" s="1568">
        <f t="shared" ref="D50:D56" si="49">+E50+F50+G50+H50</f>
        <v>13378500</v>
      </c>
      <c r="E50" s="1642">
        <f>637500+2460000</f>
        <v>3097500</v>
      </c>
      <c r="F50" s="1642">
        <v>2242500</v>
      </c>
      <c r="G50" s="1546">
        <v>7797500</v>
      </c>
      <c r="H50" s="1643">
        <v>241000</v>
      </c>
      <c r="I50" s="1568">
        <f t="shared" ref="I50:I56" si="50">+J50+K50+L50+M50</f>
        <v>11136007</v>
      </c>
      <c r="J50" s="1642">
        <f>637500+2460000</f>
        <v>3097500</v>
      </c>
      <c r="K50" s="1642">
        <v>7</v>
      </c>
      <c r="L50" s="1546">
        <v>7797500</v>
      </c>
      <c r="M50" s="1643">
        <v>241000</v>
      </c>
      <c r="N50" s="1644">
        <f>+P50+K50+J50</f>
        <v>3097507</v>
      </c>
      <c r="O50" s="1645">
        <f t="shared" si="23"/>
        <v>23.152872145606757</v>
      </c>
      <c r="P50" s="1646">
        <v>0</v>
      </c>
      <c r="Q50" s="1645">
        <f t="shared" si="20"/>
        <v>0</v>
      </c>
      <c r="R50" s="1647">
        <f t="shared" si="3"/>
        <v>-1949375</v>
      </c>
      <c r="S50" s="3008"/>
      <c r="T50" s="470"/>
    </row>
    <row r="51" spans="1:20" s="1537" customFormat="1" ht="13.5" customHeight="1" x14ac:dyDescent="0.2">
      <c r="A51" s="3017"/>
      <c r="B51" s="1648" t="s">
        <v>165</v>
      </c>
      <c r="C51" s="3020"/>
      <c r="D51" s="1568">
        <f t="shared" si="49"/>
        <v>13173500</v>
      </c>
      <c r="E51" s="1546">
        <f>572500+2460000</f>
        <v>3032500</v>
      </c>
      <c r="F51" s="1546">
        <v>5302500</v>
      </c>
      <c r="G51" s="1546">
        <v>4597500</v>
      </c>
      <c r="H51" s="1643">
        <v>241000</v>
      </c>
      <c r="I51" s="1568">
        <f t="shared" si="50"/>
        <v>13173500</v>
      </c>
      <c r="J51" s="1546">
        <f>572500+2460000</f>
        <v>3032500</v>
      </c>
      <c r="K51" s="1546">
        <v>5302500</v>
      </c>
      <c r="L51" s="1546">
        <v>4597500</v>
      </c>
      <c r="M51" s="1643">
        <v>241000</v>
      </c>
      <c r="N51" s="1644">
        <f>+P51+K51+J51</f>
        <v>12932500</v>
      </c>
      <c r="O51" s="1645">
        <f t="shared" si="23"/>
        <v>98.170569704330674</v>
      </c>
      <c r="P51" s="1649">
        <v>4597500</v>
      </c>
      <c r="Q51" s="1645">
        <f t="shared" si="20"/>
        <v>100</v>
      </c>
      <c r="R51" s="1551">
        <f t="shared" si="3"/>
        <v>3448125</v>
      </c>
      <c r="S51" s="3009"/>
      <c r="T51" s="470"/>
    </row>
    <row r="52" spans="1:20" s="1537" customFormat="1" ht="13.5" customHeight="1" x14ac:dyDescent="0.2">
      <c r="A52" s="3017"/>
      <c r="B52" s="1650" t="s">
        <v>8</v>
      </c>
      <c r="C52" s="3020"/>
      <c r="D52" s="1568">
        <f t="shared" si="49"/>
        <v>34687000</v>
      </c>
      <c r="E52" s="1546">
        <v>8065000</v>
      </c>
      <c r="F52" s="1550">
        <v>6545000</v>
      </c>
      <c r="G52" s="1550">
        <v>17595000</v>
      </c>
      <c r="H52" s="1651">
        <v>2482000</v>
      </c>
      <c r="I52" s="1568">
        <f t="shared" si="50"/>
        <v>29996955</v>
      </c>
      <c r="J52" s="1546">
        <v>8065000</v>
      </c>
      <c r="K52" s="1550">
        <v>1854955</v>
      </c>
      <c r="L52" s="1550">
        <v>17595000</v>
      </c>
      <c r="M52" s="1651">
        <v>2482000</v>
      </c>
      <c r="N52" s="1644">
        <f>+P52+K52+J52</f>
        <v>9919955</v>
      </c>
      <c r="O52" s="1652">
        <f t="shared" si="23"/>
        <v>28.598480698820882</v>
      </c>
      <c r="P52" s="1649">
        <v>0</v>
      </c>
      <c r="Q52" s="1652">
        <f t="shared" si="20"/>
        <v>0</v>
      </c>
      <c r="R52" s="1653">
        <f t="shared" si="3"/>
        <v>-4398750</v>
      </c>
      <c r="S52" s="3009"/>
      <c r="T52" s="470"/>
    </row>
    <row r="53" spans="1:20" s="1537" customFormat="1" ht="13.5" customHeight="1" x14ac:dyDescent="0.2">
      <c r="A53" s="3017"/>
      <c r="B53" s="1654" t="s">
        <v>157</v>
      </c>
      <c r="C53" s="3020"/>
      <c r="D53" s="1568">
        <f t="shared" si="49"/>
        <v>8200000</v>
      </c>
      <c r="E53" s="1546">
        <v>2145000</v>
      </c>
      <c r="F53" s="1546">
        <v>2055000</v>
      </c>
      <c r="G53" s="1546">
        <v>2000000</v>
      </c>
      <c r="H53" s="1643">
        <v>2000000</v>
      </c>
      <c r="I53" s="1568">
        <f t="shared" si="50"/>
        <v>8200000</v>
      </c>
      <c r="J53" s="1546">
        <v>2145000</v>
      </c>
      <c r="K53" s="1546">
        <v>2055000</v>
      </c>
      <c r="L53" s="1546">
        <v>2000000</v>
      </c>
      <c r="M53" s="1643">
        <v>2000000</v>
      </c>
      <c r="N53" s="1644">
        <f>+P53+K53+J53</f>
        <v>4200000</v>
      </c>
      <c r="O53" s="1645">
        <f t="shared" si="23"/>
        <v>51.219512195121951</v>
      </c>
      <c r="P53" s="1646">
        <v>0</v>
      </c>
      <c r="Q53" s="1645">
        <f t="shared" si="20"/>
        <v>0</v>
      </c>
      <c r="R53" s="1551">
        <f t="shared" si="3"/>
        <v>-500000</v>
      </c>
      <c r="S53" s="3009"/>
      <c r="T53" s="470"/>
    </row>
    <row r="54" spans="1:20" s="1537" customFormat="1" ht="13.5" hidden="1" customHeight="1" x14ac:dyDescent="0.2">
      <c r="A54" s="3017"/>
      <c r="B54" s="1655" t="s">
        <v>13</v>
      </c>
      <c r="C54" s="3020"/>
      <c r="D54" s="1656">
        <f t="shared" si="49"/>
        <v>0</v>
      </c>
      <c r="E54" s="1657">
        <f>+E55</f>
        <v>0</v>
      </c>
      <c r="F54" s="1658">
        <f>+F55</f>
        <v>0</v>
      </c>
      <c r="G54" s="1658"/>
      <c r="H54" s="1659"/>
      <c r="I54" s="1656">
        <f t="shared" si="50"/>
        <v>0</v>
      </c>
      <c r="J54" s="1657">
        <f>+J55</f>
        <v>0</v>
      </c>
      <c r="K54" s="1658">
        <f>+K55</f>
        <v>0</v>
      </c>
      <c r="L54" s="1658"/>
      <c r="M54" s="1659"/>
      <c r="N54" s="1660"/>
      <c r="O54" s="1661" t="e">
        <f t="shared" si="23"/>
        <v>#DIV/0!</v>
      </c>
      <c r="P54" s="1662"/>
      <c r="Q54" s="1661" t="e">
        <f t="shared" si="20"/>
        <v>#DIV/0!</v>
      </c>
      <c r="R54" s="1663">
        <f t="shared" si="3"/>
        <v>0</v>
      </c>
      <c r="S54" s="3009"/>
      <c r="T54" s="470"/>
    </row>
    <row r="55" spans="1:20" s="1537" customFormat="1" ht="13.5" hidden="1" customHeight="1" x14ac:dyDescent="0.2">
      <c r="A55" s="3017"/>
      <c r="B55" s="1664" t="s">
        <v>16</v>
      </c>
      <c r="C55" s="3021"/>
      <c r="D55" s="1665">
        <f t="shared" si="49"/>
        <v>0</v>
      </c>
      <c r="E55" s="1642">
        <v>0</v>
      </c>
      <c r="F55" s="1666">
        <v>0</v>
      </c>
      <c r="G55" s="1666"/>
      <c r="H55" s="1667"/>
      <c r="I55" s="1665">
        <f t="shared" si="50"/>
        <v>0</v>
      </c>
      <c r="J55" s="1642">
        <v>0</v>
      </c>
      <c r="K55" s="1666">
        <v>0</v>
      </c>
      <c r="L55" s="1666"/>
      <c r="M55" s="1667"/>
      <c r="N55" s="1668"/>
      <c r="O55" s="1669" t="e">
        <f t="shared" si="23"/>
        <v>#DIV/0!</v>
      </c>
      <c r="P55" s="1670"/>
      <c r="Q55" s="1669" t="e">
        <f t="shared" si="20"/>
        <v>#DIV/0!</v>
      </c>
      <c r="R55" s="1671">
        <f t="shared" si="3"/>
        <v>0</v>
      </c>
      <c r="S55" s="3009"/>
      <c r="T55" s="470"/>
    </row>
    <row r="56" spans="1:20" s="1537" customFormat="1" ht="13.5" customHeight="1" x14ac:dyDescent="0.2">
      <c r="A56" s="3017"/>
      <c r="B56" s="879" t="s">
        <v>17</v>
      </c>
      <c r="C56" s="1672"/>
      <c r="D56" s="1534">
        <f t="shared" si="49"/>
        <v>50952000</v>
      </c>
      <c r="E56" s="1531">
        <f>E57+E58</f>
        <v>18275000</v>
      </c>
      <c r="F56" s="1531">
        <f>F57</f>
        <v>8600000</v>
      </c>
      <c r="G56" s="1532">
        <f>G57</f>
        <v>19595000</v>
      </c>
      <c r="H56" s="1633">
        <f>H57</f>
        <v>4482000</v>
      </c>
      <c r="I56" s="1534">
        <f t="shared" si="50"/>
        <v>38196955</v>
      </c>
      <c r="J56" s="1531">
        <f>J57</f>
        <v>10210000</v>
      </c>
      <c r="K56" s="1531">
        <f>K57</f>
        <v>3909955</v>
      </c>
      <c r="L56" s="1532">
        <f>L57</f>
        <v>19595000</v>
      </c>
      <c r="M56" s="1633">
        <f>M57</f>
        <v>4482000</v>
      </c>
      <c r="N56" s="1618">
        <f>+N57</f>
        <v>14119955</v>
      </c>
      <c r="O56" s="1619">
        <f t="shared" si="23"/>
        <v>27.712268409483436</v>
      </c>
      <c r="P56" s="1673">
        <f>P58+P59</f>
        <v>0</v>
      </c>
      <c r="Q56" s="1619">
        <f t="shared" si="20"/>
        <v>0</v>
      </c>
      <c r="R56" s="1536">
        <f t="shared" si="3"/>
        <v>-4898750</v>
      </c>
      <c r="S56" s="3009"/>
      <c r="T56" s="470"/>
    </row>
    <row r="57" spans="1:20" s="1537" customFormat="1" ht="13.5" customHeight="1" x14ac:dyDescent="0.2">
      <c r="A57" s="3017"/>
      <c r="B57" s="904" t="s">
        <v>18</v>
      </c>
      <c r="C57" s="3022" t="s">
        <v>160</v>
      </c>
      <c r="D57" s="1557">
        <f t="shared" ref="D57:H57" si="51">+D58+D59</f>
        <v>42887000</v>
      </c>
      <c r="E57" s="1558">
        <f t="shared" si="51"/>
        <v>10210000</v>
      </c>
      <c r="F57" s="1674">
        <f t="shared" si="51"/>
        <v>8600000</v>
      </c>
      <c r="G57" s="1558">
        <f t="shared" si="51"/>
        <v>19595000</v>
      </c>
      <c r="H57" s="1675">
        <f t="shared" si="51"/>
        <v>4482000</v>
      </c>
      <c r="I57" s="1557">
        <f t="shared" ref="I57:M57" si="52">+I58+I59</f>
        <v>38196955</v>
      </c>
      <c r="J57" s="1558">
        <f t="shared" si="52"/>
        <v>10210000</v>
      </c>
      <c r="K57" s="1674">
        <f t="shared" si="52"/>
        <v>3909955</v>
      </c>
      <c r="L57" s="1558">
        <f t="shared" si="52"/>
        <v>19595000</v>
      </c>
      <c r="M57" s="1675">
        <f t="shared" si="52"/>
        <v>4482000</v>
      </c>
      <c r="N57" s="1676">
        <f>SUM(N58:N59)</f>
        <v>14119955</v>
      </c>
      <c r="O57" s="1677">
        <f t="shared" si="23"/>
        <v>32.923624874670651</v>
      </c>
      <c r="P57" s="1597">
        <f>+P58+P59</f>
        <v>0</v>
      </c>
      <c r="Q57" s="1677">
        <f t="shared" si="20"/>
        <v>0</v>
      </c>
      <c r="R57" s="1678">
        <f t="shared" si="3"/>
        <v>-4898750</v>
      </c>
      <c r="S57" s="3009"/>
      <c r="T57" s="470"/>
    </row>
    <row r="58" spans="1:20" s="1537" customFormat="1" ht="13.5" customHeight="1" x14ac:dyDescent="0.2">
      <c r="A58" s="3017"/>
      <c r="B58" s="1648" t="s">
        <v>8</v>
      </c>
      <c r="C58" s="3023"/>
      <c r="D58" s="1568">
        <f>+E58+F58+G58+H58</f>
        <v>34687000</v>
      </c>
      <c r="E58" s="1546">
        <v>8065000</v>
      </c>
      <c r="F58" s="1550">
        <v>6545000</v>
      </c>
      <c r="G58" s="1550">
        <v>17595000</v>
      </c>
      <c r="H58" s="1651">
        <v>2482000</v>
      </c>
      <c r="I58" s="1568">
        <f>+J58+K58+L58+M58</f>
        <v>29996955</v>
      </c>
      <c r="J58" s="1546">
        <v>8065000</v>
      </c>
      <c r="K58" s="1550">
        <v>1854955</v>
      </c>
      <c r="L58" s="1550">
        <v>17595000</v>
      </c>
      <c r="M58" s="1651">
        <v>2482000</v>
      </c>
      <c r="N58" s="1679">
        <f>+P58+K58+J58</f>
        <v>9919955</v>
      </c>
      <c r="O58" s="1677">
        <f t="shared" si="23"/>
        <v>28.598480698820882</v>
      </c>
      <c r="P58" s="1649">
        <v>0</v>
      </c>
      <c r="Q58" s="1677">
        <f t="shared" si="20"/>
        <v>0</v>
      </c>
      <c r="R58" s="1653">
        <f t="shared" si="3"/>
        <v>-4398750</v>
      </c>
      <c r="S58" s="3009"/>
      <c r="T58" s="470"/>
    </row>
    <row r="59" spans="1:20" s="1537" customFormat="1" ht="12.75" customHeight="1" thickBot="1" x14ac:dyDescent="0.25">
      <c r="A59" s="3018"/>
      <c r="B59" s="1680" t="s">
        <v>157</v>
      </c>
      <c r="C59" s="3024"/>
      <c r="D59" s="1623">
        <f>+E59+F59+G59+H59</f>
        <v>8200000</v>
      </c>
      <c r="E59" s="1574">
        <v>2145000</v>
      </c>
      <c r="F59" s="1574">
        <v>2055000</v>
      </c>
      <c r="G59" s="1574">
        <v>2000000</v>
      </c>
      <c r="H59" s="1681">
        <v>2000000</v>
      </c>
      <c r="I59" s="1623">
        <f>+J59+K59+L59+M59</f>
        <v>8200000</v>
      </c>
      <c r="J59" s="1546">
        <v>2145000</v>
      </c>
      <c r="K59" s="1546">
        <v>2055000</v>
      </c>
      <c r="L59" s="1546">
        <v>2000000</v>
      </c>
      <c r="M59" s="1643">
        <v>2000000</v>
      </c>
      <c r="N59" s="1682">
        <f>+P59+K59+J59</f>
        <v>4200000</v>
      </c>
      <c r="O59" s="1683">
        <f t="shared" si="23"/>
        <v>51.219512195121951</v>
      </c>
      <c r="P59" s="1684">
        <v>0</v>
      </c>
      <c r="Q59" s="1683">
        <f t="shared" si="20"/>
        <v>0</v>
      </c>
      <c r="R59" s="1685">
        <f t="shared" si="3"/>
        <v>-500000</v>
      </c>
      <c r="S59" s="3010"/>
      <c r="T59" s="470"/>
    </row>
    <row r="60" spans="1:20" s="493" customFormat="1" ht="50.25" customHeight="1" x14ac:dyDescent="0.2">
      <c r="A60" s="2906" t="s">
        <v>49</v>
      </c>
      <c r="B60" s="1686" t="s">
        <v>378</v>
      </c>
      <c r="C60" s="1687" t="s">
        <v>233</v>
      </c>
      <c r="D60" s="1688"/>
      <c r="E60" s="1689"/>
      <c r="F60" s="4"/>
      <c r="G60" s="4"/>
      <c r="H60" s="1690"/>
      <c r="I60" s="1688"/>
      <c r="J60" s="1689"/>
      <c r="K60" s="4"/>
      <c r="L60" s="4"/>
      <c r="M60" s="1690"/>
      <c r="N60" s="1688"/>
      <c r="O60" s="1691"/>
      <c r="P60" s="4"/>
      <c r="Q60" s="1691"/>
      <c r="R60" s="1692"/>
      <c r="S60" s="1693"/>
      <c r="T60" s="470"/>
    </row>
    <row r="61" spans="1:20" s="493" customFormat="1" ht="18" customHeight="1" x14ac:dyDescent="0.2">
      <c r="A61" s="3025"/>
      <c r="B61" s="879" t="s">
        <v>3</v>
      </c>
      <c r="C61" s="1694"/>
      <c r="D61" s="1695">
        <f t="shared" ref="D61:P61" si="53">D62</f>
        <v>11000000</v>
      </c>
      <c r="E61" s="1696">
        <f t="shared" si="53"/>
        <v>3672000</v>
      </c>
      <c r="F61" s="1696">
        <f t="shared" si="53"/>
        <v>612000</v>
      </c>
      <c r="G61" s="1696">
        <f t="shared" si="53"/>
        <v>1033284</v>
      </c>
      <c r="H61" s="1696">
        <f t="shared" si="53"/>
        <v>5682716</v>
      </c>
      <c r="I61" s="1697">
        <f t="shared" si="53"/>
        <v>11000000</v>
      </c>
      <c r="J61" s="1698">
        <f t="shared" si="53"/>
        <v>3672000</v>
      </c>
      <c r="K61" s="1698">
        <f t="shared" si="53"/>
        <v>612000</v>
      </c>
      <c r="L61" s="1698">
        <f t="shared" si="53"/>
        <v>1033284</v>
      </c>
      <c r="M61" s="1698">
        <f t="shared" si="53"/>
        <v>5682716</v>
      </c>
      <c r="N61" s="1697">
        <f t="shared" si="53"/>
        <v>4284000</v>
      </c>
      <c r="O61" s="1699">
        <f t="shared" si="23"/>
        <v>38.945454545454545</v>
      </c>
      <c r="P61" s="1698">
        <f t="shared" si="53"/>
        <v>0</v>
      </c>
      <c r="Q61" s="1699">
        <f t="shared" si="20"/>
        <v>0</v>
      </c>
      <c r="R61" s="1480">
        <f t="shared" ref="R61:R63" si="54">+P61-L61*0.25</f>
        <v>-258321</v>
      </c>
      <c r="S61" s="2887" t="s">
        <v>302</v>
      </c>
      <c r="T61" s="470"/>
    </row>
    <row r="62" spans="1:20" s="493" customFormat="1" ht="12.75" customHeight="1" x14ac:dyDescent="0.2">
      <c r="A62" s="3025"/>
      <c r="B62" s="1271" t="s">
        <v>18</v>
      </c>
      <c r="C62" s="3027" t="s">
        <v>177</v>
      </c>
      <c r="D62" s="1700">
        <f t="shared" ref="D62:H62" si="55">+D63</f>
        <v>11000000</v>
      </c>
      <c r="E62" s="1701">
        <f t="shared" si="55"/>
        <v>3672000</v>
      </c>
      <c r="F62" s="1701">
        <f t="shared" si="55"/>
        <v>612000</v>
      </c>
      <c r="G62" s="1701">
        <f t="shared" si="55"/>
        <v>1033284</v>
      </c>
      <c r="H62" s="1701">
        <f t="shared" si="55"/>
        <v>5682716</v>
      </c>
      <c r="I62" s="1702">
        <f t="shared" ref="I62:N62" si="56">+I63</f>
        <v>11000000</v>
      </c>
      <c r="J62" s="1703">
        <f t="shared" si="56"/>
        <v>3672000</v>
      </c>
      <c r="K62" s="1703">
        <f t="shared" si="56"/>
        <v>612000</v>
      </c>
      <c r="L62" s="1703">
        <f t="shared" si="56"/>
        <v>1033284</v>
      </c>
      <c r="M62" s="1703">
        <f t="shared" si="56"/>
        <v>5682716</v>
      </c>
      <c r="N62" s="1702">
        <f t="shared" si="56"/>
        <v>4284000</v>
      </c>
      <c r="O62" s="1704">
        <f t="shared" si="23"/>
        <v>38.945454545454545</v>
      </c>
      <c r="P62" s="1703">
        <f>+P63</f>
        <v>0</v>
      </c>
      <c r="Q62" s="1704">
        <f t="shared" si="20"/>
        <v>0</v>
      </c>
      <c r="R62" s="1564">
        <f t="shared" si="54"/>
        <v>-258321</v>
      </c>
      <c r="S62" s="2887"/>
      <c r="T62" s="470"/>
    </row>
    <row r="63" spans="1:20" s="493" customFormat="1" ht="12.75" customHeight="1" thickBot="1" x14ac:dyDescent="0.25">
      <c r="A63" s="3026"/>
      <c r="B63" s="1705" t="s">
        <v>5</v>
      </c>
      <c r="C63" s="3028"/>
      <c r="D63" s="1706">
        <f>+E63+F63+G63+H63</f>
        <v>11000000</v>
      </c>
      <c r="E63" s="1707">
        <f>2448000+612000+612000</f>
        <v>3672000</v>
      </c>
      <c r="F63" s="1707">
        <v>612000</v>
      </c>
      <c r="G63" s="1707">
        <v>1033284</v>
      </c>
      <c r="H63" s="1707">
        <f>2788944+1684944+1208828</f>
        <v>5682716</v>
      </c>
      <c r="I63" s="1708">
        <f>+J63+K63+L63+M63</f>
        <v>11000000</v>
      </c>
      <c r="J63" s="1709">
        <f>2448000+612000+612000</f>
        <v>3672000</v>
      </c>
      <c r="K63" s="1709">
        <v>612000</v>
      </c>
      <c r="L63" s="1709">
        <v>1033284</v>
      </c>
      <c r="M63" s="1709">
        <f>2788944+1684944+1208828</f>
        <v>5682716</v>
      </c>
      <c r="N63" s="1708">
        <f>+J63+K63+P63</f>
        <v>4284000</v>
      </c>
      <c r="O63" s="1710">
        <f t="shared" si="23"/>
        <v>38.945454545454545</v>
      </c>
      <c r="P63" s="1709">
        <v>0</v>
      </c>
      <c r="Q63" s="1710">
        <f t="shared" si="20"/>
        <v>0</v>
      </c>
      <c r="R63" s="1685">
        <f t="shared" si="54"/>
        <v>-258321</v>
      </c>
      <c r="S63" s="2888"/>
      <c r="T63" s="470"/>
    </row>
    <row r="64" spans="1:20" s="493" customFormat="1" ht="27" customHeight="1" x14ac:dyDescent="0.2">
      <c r="A64" s="2906">
        <v>5</v>
      </c>
      <c r="B64" s="1686" t="s">
        <v>379</v>
      </c>
      <c r="C64" s="1687" t="s">
        <v>233</v>
      </c>
      <c r="D64" s="1688"/>
      <c r="E64" s="1689"/>
      <c r="F64" s="4"/>
      <c r="G64" s="4"/>
      <c r="H64" s="1690"/>
      <c r="I64" s="1688"/>
      <c r="J64" s="1689"/>
      <c r="K64" s="4"/>
      <c r="L64" s="4"/>
      <c r="M64" s="1690"/>
      <c r="N64" s="1688"/>
      <c r="O64" s="1691"/>
      <c r="P64" s="4"/>
      <c r="Q64" s="1691"/>
      <c r="R64" s="1692"/>
      <c r="S64" s="1693"/>
      <c r="T64" s="470"/>
    </row>
    <row r="65" spans="1:20" s="493" customFormat="1" ht="18" customHeight="1" x14ac:dyDescent="0.2">
      <c r="A65" s="3025"/>
      <c r="B65" s="879" t="s">
        <v>3</v>
      </c>
      <c r="C65" s="1694"/>
      <c r="D65" s="1695">
        <f t="shared" ref="D65:P65" si="57">D66</f>
        <v>2900000</v>
      </c>
      <c r="E65" s="1696">
        <f t="shared" si="57"/>
        <v>1249500</v>
      </c>
      <c r="F65" s="1696">
        <f t="shared" si="57"/>
        <v>306000</v>
      </c>
      <c r="G65" s="1696">
        <f t="shared" si="57"/>
        <v>306000</v>
      </c>
      <c r="H65" s="1696">
        <f t="shared" si="57"/>
        <v>1038500</v>
      </c>
      <c r="I65" s="1697">
        <f t="shared" si="57"/>
        <v>2900000</v>
      </c>
      <c r="J65" s="1698">
        <f t="shared" si="57"/>
        <v>1249500</v>
      </c>
      <c r="K65" s="1698">
        <f t="shared" si="57"/>
        <v>306000</v>
      </c>
      <c r="L65" s="1698">
        <f t="shared" si="57"/>
        <v>306000</v>
      </c>
      <c r="M65" s="1698">
        <f t="shared" si="57"/>
        <v>1038500</v>
      </c>
      <c r="N65" s="1697">
        <f t="shared" si="57"/>
        <v>1555500</v>
      </c>
      <c r="O65" s="1699">
        <f t="shared" si="23"/>
        <v>53.637931034482754</v>
      </c>
      <c r="P65" s="1698">
        <f t="shared" si="57"/>
        <v>0</v>
      </c>
      <c r="Q65" s="1699">
        <f t="shared" si="20"/>
        <v>0</v>
      </c>
      <c r="R65" s="1480">
        <f t="shared" ref="R65:R67" si="58">+P65-L65*0.25</f>
        <v>-76500</v>
      </c>
      <c r="S65" s="2887" t="s">
        <v>302</v>
      </c>
      <c r="T65" s="470"/>
    </row>
    <row r="66" spans="1:20" s="493" customFormat="1" ht="12.75" customHeight="1" x14ac:dyDescent="0.2">
      <c r="A66" s="3025"/>
      <c r="B66" s="1271" t="s">
        <v>18</v>
      </c>
      <c r="C66" s="3027" t="s">
        <v>177</v>
      </c>
      <c r="D66" s="1700">
        <f t="shared" ref="D66:H66" si="59">+D67</f>
        <v>2900000</v>
      </c>
      <c r="E66" s="1701">
        <f t="shared" si="59"/>
        <v>1249500</v>
      </c>
      <c r="F66" s="1701">
        <f t="shared" si="59"/>
        <v>306000</v>
      </c>
      <c r="G66" s="1701">
        <f t="shared" si="59"/>
        <v>306000</v>
      </c>
      <c r="H66" s="1701">
        <f t="shared" si="59"/>
        <v>1038500</v>
      </c>
      <c r="I66" s="1702">
        <f t="shared" ref="I66:N66" si="60">+I67</f>
        <v>2900000</v>
      </c>
      <c r="J66" s="1703">
        <f t="shared" si="60"/>
        <v>1249500</v>
      </c>
      <c r="K66" s="1703">
        <f t="shared" si="60"/>
        <v>306000</v>
      </c>
      <c r="L66" s="1703">
        <f t="shared" si="60"/>
        <v>306000</v>
      </c>
      <c r="M66" s="1703">
        <f t="shared" si="60"/>
        <v>1038500</v>
      </c>
      <c r="N66" s="1702">
        <f t="shared" si="60"/>
        <v>1555500</v>
      </c>
      <c r="O66" s="1704">
        <f t="shared" si="23"/>
        <v>53.637931034482754</v>
      </c>
      <c r="P66" s="1703">
        <f>+P67</f>
        <v>0</v>
      </c>
      <c r="Q66" s="1704">
        <f t="shared" si="20"/>
        <v>0</v>
      </c>
      <c r="R66" s="1564">
        <f t="shared" si="58"/>
        <v>-76500</v>
      </c>
      <c r="S66" s="2887"/>
      <c r="T66" s="470"/>
    </row>
    <row r="67" spans="1:20" s="493" customFormat="1" ht="12.75" customHeight="1" thickBot="1" x14ac:dyDescent="0.25">
      <c r="A67" s="3026"/>
      <c r="B67" s="1705" t="s">
        <v>5</v>
      </c>
      <c r="C67" s="3028"/>
      <c r="D67" s="1706">
        <f>+E67+F67+G67+H67</f>
        <v>2900000</v>
      </c>
      <c r="E67" s="1707">
        <f>637500+306000+306000</f>
        <v>1249500</v>
      </c>
      <c r="F67" s="1707">
        <v>306000</v>
      </c>
      <c r="G67" s="1707">
        <v>306000</v>
      </c>
      <c r="H67" s="1707">
        <f>306000+306000+306000+120500</f>
        <v>1038500</v>
      </c>
      <c r="I67" s="1708">
        <f>+J67+K67+L67+M67</f>
        <v>2900000</v>
      </c>
      <c r="J67" s="1709">
        <f>637500+306000+306000</f>
        <v>1249500</v>
      </c>
      <c r="K67" s="1709">
        <v>306000</v>
      </c>
      <c r="L67" s="1709">
        <v>306000</v>
      </c>
      <c r="M67" s="1709">
        <f>306000+306000+306000+120500</f>
        <v>1038500</v>
      </c>
      <c r="N67" s="1708">
        <f>+J67+K67+P67</f>
        <v>1555500</v>
      </c>
      <c r="O67" s="1710">
        <f t="shared" si="23"/>
        <v>53.637931034482754</v>
      </c>
      <c r="P67" s="1709">
        <v>0</v>
      </c>
      <c r="Q67" s="1710">
        <f t="shared" si="20"/>
        <v>0</v>
      </c>
      <c r="R67" s="1685">
        <f t="shared" si="58"/>
        <v>-76500</v>
      </c>
      <c r="S67" s="2888"/>
      <c r="T67" s="470"/>
    </row>
    <row r="68" spans="1:20" s="493" customFormat="1" ht="27" customHeight="1" x14ac:dyDescent="0.2">
      <c r="A68" s="2906" t="s">
        <v>52</v>
      </c>
      <c r="B68" s="1686" t="s">
        <v>380</v>
      </c>
      <c r="C68" s="1687" t="s">
        <v>233</v>
      </c>
      <c r="D68" s="1688"/>
      <c r="E68" s="1689"/>
      <c r="F68" s="4"/>
      <c r="G68" s="4"/>
      <c r="H68" s="1690"/>
      <c r="I68" s="1688"/>
      <c r="J68" s="1689"/>
      <c r="K68" s="4"/>
      <c r="L68" s="4"/>
      <c r="M68" s="1690"/>
      <c r="N68" s="1688"/>
      <c r="O68" s="1691"/>
      <c r="P68" s="4"/>
      <c r="Q68" s="1691"/>
      <c r="R68" s="1692"/>
      <c r="S68" s="1693"/>
      <c r="T68" s="470"/>
    </row>
    <row r="69" spans="1:20" s="493" customFormat="1" ht="18" customHeight="1" x14ac:dyDescent="0.2">
      <c r="A69" s="3025"/>
      <c r="B69" s="879" t="s">
        <v>3</v>
      </c>
      <c r="C69" s="1694"/>
      <c r="D69" s="1695">
        <f t="shared" ref="D69:P69" si="61">D70</f>
        <v>8000000</v>
      </c>
      <c r="E69" s="1711">
        <f t="shared" si="61"/>
        <v>0</v>
      </c>
      <c r="F69" s="1711">
        <f t="shared" si="61"/>
        <v>0</v>
      </c>
      <c r="G69" s="1711">
        <f t="shared" si="61"/>
        <v>0</v>
      </c>
      <c r="H69" s="1696">
        <f t="shared" si="61"/>
        <v>8000000</v>
      </c>
      <c r="I69" s="1697">
        <f t="shared" si="61"/>
        <v>8000000</v>
      </c>
      <c r="J69" s="1712">
        <f t="shared" si="61"/>
        <v>0</v>
      </c>
      <c r="K69" s="1712">
        <f t="shared" si="61"/>
        <v>0</v>
      </c>
      <c r="L69" s="1712">
        <f t="shared" si="61"/>
        <v>0</v>
      </c>
      <c r="M69" s="1698">
        <f t="shared" si="61"/>
        <v>8000000</v>
      </c>
      <c r="N69" s="1697">
        <f t="shared" si="61"/>
        <v>0</v>
      </c>
      <c r="O69" s="1699">
        <f t="shared" si="23"/>
        <v>0</v>
      </c>
      <c r="P69" s="1712">
        <f t="shared" si="61"/>
        <v>0</v>
      </c>
      <c r="Q69" s="1713">
        <v>0</v>
      </c>
      <c r="R69" s="1480">
        <f t="shared" ref="R69:R71" si="62">+P69-L69*0.25</f>
        <v>0</v>
      </c>
      <c r="S69" s="2887" t="s">
        <v>302</v>
      </c>
      <c r="T69" s="470"/>
    </row>
    <row r="70" spans="1:20" s="493" customFormat="1" ht="12.75" customHeight="1" x14ac:dyDescent="0.2">
      <c r="A70" s="3025"/>
      <c r="B70" s="1271" t="s">
        <v>18</v>
      </c>
      <c r="C70" s="3027" t="s">
        <v>177</v>
      </c>
      <c r="D70" s="1700">
        <f t="shared" ref="D70:H70" si="63">+D71</f>
        <v>8000000</v>
      </c>
      <c r="E70" s="1714">
        <f t="shared" si="63"/>
        <v>0</v>
      </c>
      <c r="F70" s="1714">
        <f t="shared" si="63"/>
        <v>0</v>
      </c>
      <c r="G70" s="1714">
        <f t="shared" si="63"/>
        <v>0</v>
      </c>
      <c r="H70" s="1701">
        <f t="shared" si="63"/>
        <v>8000000</v>
      </c>
      <c r="I70" s="1702">
        <f t="shared" ref="I70:N70" si="64">+I71</f>
        <v>8000000</v>
      </c>
      <c r="J70" s="1715">
        <f t="shared" si="64"/>
        <v>0</v>
      </c>
      <c r="K70" s="1715">
        <f t="shared" si="64"/>
        <v>0</v>
      </c>
      <c r="L70" s="1715">
        <f t="shared" si="64"/>
        <v>0</v>
      </c>
      <c r="M70" s="1703">
        <f t="shared" si="64"/>
        <v>8000000</v>
      </c>
      <c r="N70" s="1702">
        <f t="shared" si="64"/>
        <v>0</v>
      </c>
      <c r="O70" s="1704">
        <f t="shared" si="23"/>
        <v>0</v>
      </c>
      <c r="P70" s="1715">
        <f>+P71</f>
        <v>0</v>
      </c>
      <c r="Q70" s="1715">
        <v>0</v>
      </c>
      <c r="R70" s="1564">
        <f t="shared" si="62"/>
        <v>0</v>
      </c>
      <c r="S70" s="2887"/>
      <c r="T70" s="470"/>
    </row>
    <row r="71" spans="1:20" s="493" customFormat="1" ht="12.75" customHeight="1" thickBot="1" x14ac:dyDescent="0.25">
      <c r="A71" s="3026"/>
      <c r="B71" s="1705" t="s">
        <v>5</v>
      </c>
      <c r="C71" s="3028"/>
      <c r="D71" s="1706">
        <f>+E71+F71+G71+H71</f>
        <v>8000000</v>
      </c>
      <c r="E71" s="1716">
        <v>0</v>
      </c>
      <c r="F71" s="1716">
        <v>0</v>
      </c>
      <c r="G71" s="1716">
        <v>0</v>
      </c>
      <c r="H71" s="1707">
        <v>8000000</v>
      </c>
      <c r="I71" s="1708">
        <f>+J71+K71+L71+M71</f>
        <v>8000000</v>
      </c>
      <c r="J71" s="1717">
        <v>0</v>
      </c>
      <c r="K71" s="1717">
        <v>0</v>
      </c>
      <c r="L71" s="1717">
        <v>0</v>
      </c>
      <c r="M71" s="1709">
        <v>8000000</v>
      </c>
      <c r="N71" s="1708">
        <f>+J71+K71+P71</f>
        <v>0</v>
      </c>
      <c r="O71" s="1710">
        <f t="shared" si="23"/>
        <v>0</v>
      </c>
      <c r="P71" s="1717">
        <v>0</v>
      </c>
      <c r="Q71" s="1624">
        <v>0</v>
      </c>
      <c r="R71" s="1685">
        <f t="shared" si="62"/>
        <v>0</v>
      </c>
      <c r="S71" s="2888"/>
      <c r="T71" s="470"/>
    </row>
    <row r="72" spans="1:20" s="1537" customFormat="1" ht="12.75" customHeight="1" thickBot="1" x14ac:dyDescent="0.25">
      <c r="A72" s="1718"/>
      <c r="B72" s="1719"/>
      <c r="C72" s="1720"/>
      <c r="D72" s="1721"/>
      <c r="E72" s="1721"/>
      <c r="F72" s="1721"/>
      <c r="G72" s="1721"/>
      <c r="H72" s="1721"/>
      <c r="I72" s="1721"/>
      <c r="J72" s="1721"/>
      <c r="K72" s="1721"/>
      <c r="L72" s="1721"/>
      <c r="M72" s="1721"/>
      <c r="N72" s="1722"/>
      <c r="O72" s="1723"/>
      <c r="P72" s="1722"/>
      <c r="Q72" s="1723"/>
      <c r="R72" s="470"/>
      <c r="S72" s="1724"/>
      <c r="T72" s="470"/>
    </row>
    <row r="73" spans="1:20" s="1537" customFormat="1" ht="12.75" customHeight="1" x14ac:dyDescent="0.2">
      <c r="A73" s="3029" t="s">
        <v>391</v>
      </c>
      <c r="B73" s="3029"/>
      <c r="C73" s="3029"/>
      <c r="D73" s="3029"/>
      <c r="E73" s="3029"/>
      <c r="F73" s="3029"/>
      <c r="G73" s="3029"/>
      <c r="H73" s="3029"/>
      <c r="I73" s="3029"/>
      <c r="J73" s="3029"/>
      <c r="K73" s="3029"/>
      <c r="L73" s="3029"/>
      <c r="M73" s="3029"/>
      <c r="N73" s="3029"/>
      <c r="O73" s="3029"/>
      <c r="P73" s="3029"/>
      <c r="Q73" s="3029"/>
      <c r="R73" s="3030"/>
      <c r="S73" s="1724"/>
      <c r="T73" s="470"/>
    </row>
    <row r="74" spans="1:20" s="1537" customFormat="1" ht="13.5" customHeight="1" x14ac:dyDescent="0.2">
      <c r="A74" s="467"/>
      <c r="B74" s="1725"/>
      <c r="C74" s="1726"/>
      <c r="D74" s="1727"/>
      <c r="E74" s="1727"/>
      <c r="F74" s="1727"/>
      <c r="G74" s="1727"/>
      <c r="H74" s="1727"/>
      <c r="I74" s="1727"/>
      <c r="J74" s="1727"/>
      <c r="K74" s="1727"/>
      <c r="L74" s="1727"/>
      <c r="M74" s="1727"/>
      <c r="N74" s="1727"/>
      <c r="O74" s="1727"/>
      <c r="P74" s="1727"/>
      <c r="Q74" s="1727"/>
      <c r="R74" s="1727"/>
      <c r="S74" s="1728"/>
    </row>
    <row r="75" spans="1:20" s="1729" customFormat="1" ht="14.25" customHeight="1" x14ac:dyDescent="0.2">
      <c r="A75" s="473" t="s">
        <v>387</v>
      </c>
      <c r="C75" s="1730"/>
      <c r="G75" s="1405"/>
      <c r="H75" s="1405"/>
      <c r="I75" s="1405"/>
      <c r="J75" s="1405"/>
      <c r="K75" s="1405"/>
      <c r="L75" s="1405"/>
      <c r="M75" s="1405"/>
      <c r="N75" s="1405"/>
      <c r="O75" s="1405"/>
      <c r="P75" s="1405"/>
      <c r="Q75" s="1405"/>
      <c r="R75" s="1405"/>
      <c r="S75" s="1731"/>
    </row>
    <row r="76" spans="1:20" s="1732" customFormat="1" ht="13.5" customHeight="1" x14ac:dyDescent="0.2">
      <c r="G76" s="1405"/>
      <c r="H76" s="1405"/>
      <c r="I76" s="1405"/>
      <c r="J76" s="1405"/>
      <c r="K76" s="1405"/>
      <c r="L76" s="1405"/>
      <c r="M76" s="1405"/>
      <c r="N76" s="1405"/>
      <c r="O76" s="1405"/>
      <c r="P76" s="1405"/>
      <c r="Q76" s="1405"/>
      <c r="R76" s="1405"/>
      <c r="S76" s="1731"/>
    </row>
    <row r="77" spans="1:20" s="1733" customFormat="1" ht="12.75" customHeight="1" x14ac:dyDescent="0.2">
      <c r="C77" s="1732"/>
      <c r="G77" s="1405"/>
      <c r="H77" s="1405"/>
      <c r="I77" s="1405"/>
      <c r="J77" s="1405"/>
      <c r="K77" s="1405"/>
      <c r="L77" s="1405"/>
      <c r="M77" s="1405"/>
      <c r="N77" s="1405"/>
      <c r="O77" s="1405"/>
      <c r="P77" s="1405"/>
      <c r="Q77" s="1405"/>
      <c r="R77" s="1405"/>
      <c r="S77" s="1731"/>
    </row>
    <row r="78" spans="1:20" s="1537" customFormat="1" ht="10.5" customHeight="1" x14ac:dyDescent="0.2">
      <c r="A78" s="1402"/>
      <c r="B78" s="1405"/>
      <c r="C78" s="1407"/>
      <c r="D78" s="1405"/>
      <c r="E78" s="1405"/>
      <c r="F78" s="1405"/>
      <c r="G78" s="1405"/>
      <c r="H78" s="1405"/>
      <c r="I78" s="1405"/>
      <c r="J78" s="1405"/>
      <c r="K78" s="1405"/>
      <c r="L78" s="1405"/>
      <c r="M78" s="1405"/>
      <c r="N78" s="1405"/>
      <c r="O78" s="1405"/>
      <c r="P78" s="1405"/>
      <c r="Q78" s="1405"/>
      <c r="R78" s="1405"/>
      <c r="S78" s="1731"/>
    </row>
    <row r="79" spans="1:20" s="1732" customFormat="1" ht="15.75" customHeight="1" x14ac:dyDescent="0.2">
      <c r="B79" s="1405"/>
      <c r="C79" s="1407"/>
      <c r="D79" s="1405"/>
      <c r="E79" s="1405"/>
      <c r="F79" s="1405"/>
      <c r="G79" s="1405"/>
      <c r="H79" s="1405"/>
      <c r="I79" s="1405"/>
      <c r="J79" s="1405"/>
      <c r="K79" s="1405"/>
      <c r="L79" s="1405"/>
      <c r="M79" s="1405"/>
      <c r="N79" s="1405"/>
      <c r="O79" s="1405"/>
      <c r="P79" s="1405"/>
      <c r="Q79" s="1405"/>
      <c r="R79" s="1405"/>
      <c r="S79" s="1731"/>
    </row>
    <row r="80" spans="1:20" s="1732" customFormat="1" ht="15.75" customHeight="1" x14ac:dyDescent="0.2">
      <c r="A80" s="1402"/>
      <c r="B80" s="1405"/>
      <c r="C80" s="1407"/>
      <c r="D80" s="1734"/>
      <c r="E80" s="1734"/>
      <c r="F80" s="1405"/>
      <c r="G80" s="1405"/>
      <c r="H80" s="1405"/>
      <c r="I80" s="1405"/>
      <c r="J80" s="1405"/>
      <c r="K80" s="1405"/>
      <c r="L80" s="1405"/>
      <c r="M80" s="1405"/>
      <c r="N80" s="1405"/>
      <c r="O80" s="1405"/>
      <c r="P80" s="1405"/>
      <c r="Q80" s="1405"/>
      <c r="R80" s="1405"/>
      <c r="S80" s="1731"/>
    </row>
    <row r="81" spans="1:19" s="1732" customFormat="1" ht="15.75" customHeight="1" x14ac:dyDescent="0.2">
      <c r="A81" s="1402"/>
      <c r="B81" s="1405"/>
      <c r="C81" s="1407"/>
      <c r="D81" s="1734"/>
      <c r="E81" s="1405"/>
      <c r="F81" s="1405"/>
      <c r="G81" s="1405"/>
      <c r="H81" s="1405"/>
      <c r="I81" s="1405"/>
      <c r="J81" s="1405"/>
      <c r="K81" s="1405"/>
      <c r="L81" s="1405"/>
      <c r="M81" s="1405"/>
      <c r="N81" s="1405"/>
      <c r="O81" s="1405"/>
      <c r="P81" s="1405"/>
      <c r="Q81" s="1405"/>
      <c r="R81" s="1405"/>
      <c r="S81" s="1731"/>
    </row>
    <row r="82" spans="1:19" s="1732" customFormat="1" ht="12" customHeight="1" x14ac:dyDescent="0.2">
      <c r="A82" s="1402"/>
      <c r="B82" s="1405"/>
      <c r="C82" s="1407"/>
      <c r="D82" s="1734"/>
      <c r="E82" s="1405"/>
      <c r="F82" s="1405"/>
      <c r="G82" s="1405"/>
      <c r="H82" s="1405"/>
      <c r="I82" s="1405"/>
      <c r="J82" s="1405"/>
      <c r="K82" s="1405"/>
      <c r="L82" s="1405"/>
      <c r="M82" s="1405"/>
      <c r="N82" s="1405"/>
      <c r="O82" s="1405"/>
      <c r="P82" s="1405"/>
      <c r="Q82" s="1405"/>
      <c r="R82" s="1405"/>
      <c r="S82" s="1731"/>
    </row>
    <row r="83" spans="1:19" s="1730" customFormat="1" ht="22.5" customHeight="1" x14ac:dyDescent="0.2">
      <c r="A83" s="1402"/>
      <c r="B83" s="1405"/>
      <c r="C83" s="1407"/>
      <c r="D83" s="1405"/>
      <c r="E83" s="1405"/>
      <c r="F83" s="1405"/>
      <c r="G83" s="1405"/>
      <c r="H83" s="1405"/>
      <c r="I83" s="1405"/>
      <c r="J83" s="1405"/>
      <c r="K83" s="1405"/>
      <c r="L83" s="1405"/>
      <c r="M83" s="1405"/>
      <c r="N83" s="1405"/>
      <c r="O83" s="1405"/>
      <c r="P83" s="1405"/>
      <c r="Q83" s="1405"/>
      <c r="R83" s="1405"/>
      <c r="S83" s="1731"/>
    </row>
    <row r="84" spans="1:19" s="1537" customFormat="1" ht="12.75" customHeight="1" x14ac:dyDescent="0.2">
      <c r="A84" s="1402"/>
      <c r="B84" s="1405"/>
      <c r="C84" s="1407"/>
      <c r="D84" s="1405"/>
      <c r="E84" s="1405"/>
      <c r="F84" s="1405"/>
      <c r="G84" s="1405"/>
      <c r="H84" s="1405"/>
      <c r="I84" s="1405"/>
      <c r="J84" s="1405"/>
      <c r="K84" s="1405"/>
      <c r="L84" s="1405"/>
      <c r="M84" s="1405"/>
      <c r="N84" s="1405"/>
      <c r="O84" s="1405"/>
      <c r="P84" s="1405"/>
      <c r="Q84" s="1405"/>
      <c r="R84" s="1405"/>
      <c r="S84" s="1731"/>
    </row>
    <row r="85" spans="1:19" s="1537" customFormat="1" ht="12.75" customHeight="1" x14ac:dyDescent="0.2">
      <c r="A85" s="1402"/>
      <c r="B85" s="1405"/>
      <c r="C85" s="1407"/>
      <c r="D85" s="1405"/>
      <c r="E85" s="1405"/>
      <c r="F85" s="1405"/>
      <c r="G85" s="1405"/>
      <c r="H85" s="1405"/>
      <c r="I85" s="1405"/>
      <c r="J85" s="1405"/>
      <c r="K85" s="1405"/>
      <c r="L85" s="1405"/>
      <c r="M85" s="1405"/>
      <c r="N85" s="1405"/>
      <c r="O85" s="1405"/>
      <c r="P85" s="1405"/>
      <c r="Q85" s="1405"/>
      <c r="R85" s="1405"/>
      <c r="S85" s="1731"/>
    </row>
    <row r="86" spans="1:19" s="1537" customFormat="1" x14ac:dyDescent="0.2">
      <c r="A86" s="1402"/>
      <c r="B86" s="1405"/>
      <c r="C86" s="1407"/>
      <c r="D86" s="1405"/>
      <c r="E86" s="1405"/>
      <c r="F86" s="1405"/>
      <c r="G86" s="1405"/>
      <c r="H86" s="1405"/>
      <c r="I86" s="1405"/>
      <c r="J86" s="1405"/>
      <c r="K86" s="1405"/>
      <c r="L86" s="1405"/>
      <c r="M86" s="1405"/>
      <c r="N86" s="1405"/>
      <c r="O86" s="1405"/>
      <c r="P86" s="1405"/>
      <c r="Q86" s="1405"/>
      <c r="R86" s="1405"/>
      <c r="S86" s="1731"/>
    </row>
    <row r="87" spans="1:19" s="1730" customFormat="1" ht="14.25" customHeight="1" x14ac:dyDescent="0.2">
      <c r="A87" s="1402"/>
      <c r="B87" s="1405"/>
      <c r="C87" s="1407"/>
      <c r="D87" s="1405"/>
      <c r="E87" s="1405"/>
      <c r="F87" s="1405"/>
      <c r="G87" s="1405"/>
      <c r="H87" s="1405"/>
      <c r="I87" s="1405"/>
      <c r="J87" s="1405"/>
      <c r="K87" s="1405"/>
      <c r="L87" s="1405"/>
      <c r="M87" s="1405"/>
      <c r="N87" s="1405"/>
      <c r="O87" s="1405"/>
      <c r="P87" s="1405"/>
      <c r="Q87" s="1405"/>
      <c r="R87" s="1405"/>
      <c r="S87" s="1731"/>
    </row>
    <row r="88" spans="1:19" s="1537" customFormat="1" ht="12.75" customHeight="1" x14ac:dyDescent="0.2">
      <c r="A88" s="1402"/>
      <c r="B88" s="1405"/>
      <c r="C88" s="1407"/>
      <c r="D88" s="1405"/>
      <c r="E88" s="1405"/>
      <c r="F88" s="1405"/>
      <c r="G88" s="1405"/>
      <c r="H88" s="1405"/>
      <c r="I88" s="1405"/>
      <c r="J88" s="1405"/>
      <c r="K88" s="1405"/>
      <c r="L88" s="1405"/>
      <c r="M88" s="1405"/>
      <c r="N88" s="1405"/>
      <c r="O88" s="1405"/>
      <c r="P88" s="1405"/>
      <c r="Q88" s="1405"/>
      <c r="R88" s="1405"/>
      <c r="S88" s="1731"/>
    </row>
    <row r="89" spans="1:19" s="1537" customFormat="1" ht="12.75" customHeight="1" x14ac:dyDescent="0.2">
      <c r="A89" s="1402"/>
      <c r="B89" s="1405"/>
      <c r="C89" s="1407"/>
      <c r="D89" s="1405"/>
      <c r="E89" s="1405"/>
      <c r="F89" s="1405"/>
      <c r="G89" s="1405"/>
      <c r="H89" s="1405"/>
      <c r="I89" s="1405"/>
      <c r="J89" s="1405"/>
      <c r="K89" s="1405"/>
      <c r="L89" s="1405"/>
      <c r="M89" s="1405"/>
      <c r="N89" s="1405"/>
      <c r="O89" s="1405"/>
      <c r="P89" s="1405"/>
      <c r="Q89" s="1405"/>
      <c r="R89" s="1405"/>
      <c r="S89" s="1731"/>
    </row>
    <row r="90" spans="1:19" s="1537" customFormat="1" x14ac:dyDescent="0.2">
      <c r="A90" s="1402"/>
      <c r="B90" s="1405"/>
      <c r="C90" s="1407"/>
      <c r="D90" s="1405"/>
      <c r="E90" s="1405"/>
      <c r="F90" s="1405"/>
      <c r="G90" s="1405"/>
      <c r="H90" s="1405"/>
      <c r="I90" s="1405"/>
      <c r="J90" s="1405"/>
      <c r="K90" s="1405"/>
      <c r="L90" s="1405"/>
      <c r="M90" s="1405"/>
      <c r="N90" s="1405"/>
      <c r="O90" s="1405"/>
      <c r="P90" s="1405"/>
      <c r="Q90" s="1405"/>
      <c r="R90" s="1405"/>
      <c r="S90" s="1731"/>
    </row>
    <row r="91" spans="1:19" s="1537" customFormat="1" x14ac:dyDescent="0.2">
      <c r="A91" s="1402"/>
      <c r="B91" s="1405"/>
      <c r="C91" s="1407"/>
      <c r="D91" s="1405"/>
      <c r="E91" s="1405"/>
      <c r="F91" s="1405"/>
      <c r="G91" s="1405"/>
      <c r="H91" s="1405"/>
      <c r="I91" s="1405"/>
      <c r="J91" s="1405"/>
      <c r="K91" s="1405"/>
      <c r="L91" s="1405"/>
      <c r="M91" s="1405"/>
      <c r="N91" s="1405"/>
      <c r="O91" s="1405"/>
      <c r="P91" s="1405"/>
      <c r="Q91" s="1405"/>
      <c r="R91" s="1405"/>
      <c r="S91" s="1731"/>
    </row>
    <row r="92" spans="1:19" s="1730" customFormat="1" ht="33.75" customHeight="1" x14ac:dyDescent="0.2">
      <c r="A92" s="1402"/>
      <c r="B92" s="1405"/>
      <c r="C92" s="1407"/>
      <c r="D92" s="1405"/>
      <c r="E92" s="1405"/>
      <c r="F92" s="1405"/>
      <c r="G92" s="1405"/>
      <c r="H92" s="1405"/>
      <c r="I92" s="1405"/>
      <c r="J92" s="1405"/>
      <c r="K92" s="1405"/>
      <c r="L92" s="1405"/>
      <c r="M92" s="1405"/>
      <c r="N92" s="1405"/>
      <c r="O92" s="1405"/>
      <c r="P92" s="1405"/>
      <c r="Q92" s="1405"/>
      <c r="R92" s="1405"/>
      <c r="S92" s="1731"/>
    </row>
    <row r="93" spans="1:19" s="1537" customFormat="1" ht="12.75" customHeight="1" x14ac:dyDescent="0.2">
      <c r="A93" s="1402"/>
      <c r="B93" s="1405"/>
      <c r="C93" s="1407"/>
      <c r="D93" s="1405"/>
      <c r="E93" s="1405"/>
      <c r="F93" s="1405"/>
      <c r="G93" s="1405"/>
      <c r="H93" s="1405"/>
      <c r="I93" s="1405"/>
      <c r="J93" s="1405"/>
      <c r="K93" s="1405"/>
      <c r="L93" s="1405"/>
      <c r="M93" s="1405"/>
      <c r="N93" s="1405"/>
      <c r="O93" s="1405"/>
      <c r="P93" s="1405"/>
      <c r="Q93" s="1405"/>
      <c r="R93" s="1405"/>
      <c r="S93" s="1731"/>
    </row>
    <row r="94" spans="1:19" s="1537" customFormat="1" ht="12.75" customHeight="1" x14ac:dyDescent="0.2">
      <c r="A94" s="1402"/>
      <c r="B94" s="1405"/>
      <c r="C94" s="1407"/>
      <c r="D94" s="1405"/>
      <c r="E94" s="1405"/>
      <c r="F94" s="1405"/>
      <c r="G94" s="1405"/>
      <c r="H94" s="1405"/>
      <c r="I94" s="1405"/>
      <c r="J94" s="1405"/>
      <c r="K94" s="1405"/>
      <c r="L94" s="1405"/>
      <c r="M94" s="1405"/>
      <c r="N94" s="1405"/>
      <c r="O94" s="1405"/>
      <c r="P94" s="1405"/>
      <c r="Q94" s="1405"/>
      <c r="R94" s="1405"/>
      <c r="S94" s="1731"/>
    </row>
    <row r="95" spans="1:19" s="1537" customFormat="1" ht="12.75" customHeight="1" x14ac:dyDescent="0.2">
      <c r="A95" s="1402"/>
      <c r="B95" s="1405"/>
      <c r="C95" s="1407"/>
      <c r="D95" s="1405"/>
      <c r="E95" s="1405"/>
      <c r="F95" s="1405"/>
      <c r="G95" s="1405"/>
      <c r="H95" s="1405"/>
      <c r="I95" s="1405"/>
      <c r="J95" s="1405"/>
      <c r="K95" s="1405"/>
      <c r="L95" s="1405"/>
      <c r="M95" s="1405"/>
      <c r="N95" s="1405"/>
      <c r="O95" s="1405"/>
      <c r="P95" s="1405"/>
      <c r="Q95" s="1405"/>
      <c r="R95" s="1405"/>
      <c r="S95" s="1731"/>
    </row>
    <row r="96" spans="1:19" s="1537" customFormat="1" ht="12.75" customHeight="1" x14ac:dyDescent="0.2">
      <c r="A96" s="1402"/>
      <c r="B96" s="1405"/>
      <c r="C96" s="1407"/>
      <c r="D96" s="1405"/>
      <c r="E96" s="1405"/>
      <c r="F96" s="1405"/>
      <c r="G96" s="1405"/>
      <c r="H96" s="1405"/>
      <c r="I96" s="1405"/>
      <c r="J96" s="1405"/>
      <c r="K96" s="1405"/>
      <c r="L96" s="1405"/>
      <c r="M96" s="1405"/>
      <c r="N96" s="1405"/>
      <c r="O96" s="1405"/>
      <c r="P96" s="1405"/>
      <c r="Q96" s="1405"/>
      <c r="R96" s="1405"/>
      <c r="S96" s="1731"/>
    </row>
    <row r="97" spans="1:19" s="1537" customFormat="1" x14ac:dyDescent="0.2">
      <c r="A97" s="1402"/>
      <c r="B97" s="1405"/>
      <c r="C97" s="1407"/>
      <c r="D97" s="1405"/>
      <c r="E97" s="1405"/>
      <c r="F97" s="1405"/>
      <c r="G97" s="1405"/>
      <c r="H97" s="1405"/>
      <c r="I97" s="1405"/>
      <c r="J97" s="1405"/>
      <c r="K97" s="1405"/>
      <c r="L97" s="1405"/>
      <c r="M97" s="1405"/>
      <c r="N97" s="1405"/>
      <c r="O97" s="1405"/>
      <c r="P97" s="1405"/>
      <c r="Q97" s="1405"/>
      <c r="R97" s="1405"/>
      <c r="S97" s="1731"/>
    </row>
    <row r="98" spans="1:19" s="1730" customFormat="1" ht="12" customHeight="1" x14ac:dyDescent="0.2">
      <c r="A98" s="1402"/>
      <c r="B98" s="1405"/>
      <c r="C98" s="1407"/>
      <c r="D98" s="1405"/>
      <c r="E98" s="1405"/>
      <c r="F98" s="1405"/>
      <c r="G98" s="1405"/>
      <c r="H98" s="1405"/>
      <c r="I98" s="1405"/>
      <c r="J98" s="1405"/>
      <c r="K98" s="1405"/>
      <c r="L98" s="1405"/>
      <c r="M98" s="1405"/>
      <c r="N98" s="1405"/>
      <c r="O98" s="1405"/>
      <c r="P98" s="1405"/>
      <c r="Q98" s="1405"/>
      <c r="R98" s="1405"/>
      <c r="S98" s="1731"/>
    </row>
    <row r="99" spans="1:19" s="1537" customFormat="1" ht="12.75" customHeight="1" x14ac:dyDescent="0.2">
      <c r="A99" s="1402"/>
      <c r="B99" s="1405"/>
      <c r="C99" s="1407"/>
      <c r="D99" s="1405"/>
      <c r="E99" s="1405"/>
      <c r="F99" s="1405"/>
      <c r="G99" s="1405"/>
      <c r="H99" s="1405"/>
      <c r="I99" s="1405"/>
      <c r="J99" s="1405"/>
      <c r="K99" s="1405"/>
      <c r="L99" s="1405"/>
      <c r="M99" s="1405"/>
      <c r="N99" s="1405"/>
      <c r="O99" s="1405"/>
      <c r="P99" s="1405"/>
      <c r="Q99" s="1405"/>
      <c r="R99" s="1405"/>
      <c r="S99" s="1731"/>
    </row>
    <row r="100" spans="1:19" s="1537" customFormat="1" ht="12.75" customHeight="1" x14ac:dyDescent="0.2">
      <c r="A100" s="1402"/>
      <c r="B100" s="1405"/>
      <c r="C100" s="1407"/>
      <c r="D100" s="1405"/>
      <c r="E100" s="1405"/>
      <c r="F100" s="1405"/>
      <c r="G100" s="1405"/>
      <c r="H100" s="1405"/>
      <c r="I100" s="1405"/>
      <c r="J100" s="1405"/>
      <c r="K100" s="1405"/>
      <c r="L100" s="1405"/>
      <c r="M100" s="1405"/>
      <c r="N100" s="1405"/>
      <c r="O100" s="1405"/>
      <c r="P100" s="1405"/>
      <c r="Q100" s="1405"/>
      <c r="R100" s="1405"/>
      <c r="S100" s="1731"/>
    </row>
    <row r="101" spans="1:19" s="1537" customFormat="1" x14ac:dyDescent="0.2">
      <c r="A101" s="1402"/>
      <c r="B101" s="1405"/>
      <c r="C101" s="1407"/>
      <c r="D101" s="1405"/>
      <c r="E101" s="1405"/>
      <c r="F101" s="1405"/>
      <c r="G101" s="1405"/>
      <c r="H101" s="1405"/>
      <c r="I101" s="1405"/>
      <c r="J101" s="1405"/>
      <c r="K101" s="1405"/>
      <c r="L101" s="1405"/>
      <c r="M101" s="1405"/>
      <c r="N101" s="1405"/>
      <c r="O101" s="1405"/>
      <c r="P101" s="1405"/>
      <c r="Q101" s="1405"/>
      <c r="R101" s="1405"/>
      <c r="S101" s="1731"/>
    </row>
    <row r="102" spans="1:19" s="1537" customFormat="1" x14ac:dyDescent="0.2">
      <c r="A102" s="1402"/>
      <c r="B102" s="1405"/>
      <c r="C102" s="1407"/>
      <c r="D102" s="1405"/>
      <c r="E102" s="1405"/>
      <c r="F102" s="1405"/>
      <c r="G102" s="1405"/>
      <c r="H102" s="1405"/>
      <c r="I102" s="1405"/>
      <c r="J102" s="1405"/>
      <c r="K102" s="1405"/>
      <c r="L102" s="1405"/>
      <c r="M102" s="1405"/>
      <c r="N102" s="1405"/>
      <c r="O102" s="1405"/>
      <c r="P102" s="1405"/>
      <c r="Q102" s="1405"/>
      <c r="R102" s="1405"/>
      <c r="S102" s="1731"/>
    </row>
    <row r="103" spans="1:19" s="1730" customFormat="1" ht="22.5" customHeight="1" x14ac:dyDescent="0.2">
      <c r="A103" s="1402"/>
      <c r="B103" s="1405"/>
      <c r="C103" s="1407"/>
      <c r="D103" s="1405"/>
      <c r="E103" s="1405"/>
      <c r="F103" s="1405"/>
      <c r="G103" s="1405"/>
      <c r="H103" s="1405"/>
      <c r="I103" s="1405"/>
      <c r="J103" s="1405"/>
      <c r="K103" s="1405"/>
      <c r="L103" s="1405"/>
      <c r="M103" s="1405"/>
      <c r="N103" s="1405"/>
      <c r="O103" s="1405"/>
      <c r="P103" s="1405"/>
      <c r="Q103" s="1405"/>
      <c r="R103" s="1405"/>
      <c r="S103" s="1731"/>
    </row>
    <row r="104" spans="1:19" s="1537" customFormat="1" ht="12.75" customHeight="1" x14ac:dyDescent="0.2">
      <c r="A104" s="1402"/>
      <c r="B104" s="1405"/>
      <c r="C104" s="1407"/>
      <c r="D104" s="1405"/>
      <c r="E104" s="1405"/>
      <c r="F104" s="1405"/>
      <c r="G104" s="1405"/>
      <c r="H104" s="1405"/>
      <c r="I104" s="1405"/>
      <c r="J104" s="1405"/>
      <c r="K104" s="1405"/>
      <c r="L104" s="1405"/>
      <c r="M104" s="1405"/>
      <c r="N104" s="1405"/>
      <c r="O104" s="1405"/>
      <c r="P104" s="1405"/>
      <c r="Q104" s="1405"/>
      <c r="R104" s="1405"/>
      <c r="S104" s="1731"/>
    </row>
    <row r="105" spans="1:19" s="1537" customFormat="1" ht="12.75" customHeight="1" x14ac:dyDescent="0.2">
      <c r="A105" s="1402"/>
      <c r="B105" s="1405"/>
      <c r="C105" s="1407"/>
      <c r="D105" s="1405"/>
      <c r="E105" s="1405"/>
      <c r="F105" s="1405"/>
      <c r="G105" s="1405"/>
      <c r="H105" s="1405"/>
      <c r="I105" s="1405"/>
      <c r="J105" s="1405"/>
      <c r="K105" s="1405"/>
      <c r="L105" s="1405"/>
      <c r="M105" s="1405"/>
      <c r="N105" s="1405"/>
      <c r="O105" s="1405"/>
      <c r="P105" s="1405"/>
      <c r="Q105" s="1405"/>
      <c r="R105" s="1405"/>
      <c r="S105" s="1731"/>
    </row>
    <row r="106" spans="1:19" s="1537" customFormat="1" x14ac:dyDescent="0.2">
      <c r="A106" s="1402"/>
      <c r="B106" s="1405"/>
      <c r="C106" s="1407"/>
      <c r="D106" s="1405"/>
      <c r="E106" s="1405"/>
      <c r="F106" s="1405"/>
      <c r="G106" s="1405"/>
      <c r="H106" s="1405"/>
      <c r="I106" s="1405"/>
      <c r="J106" s="1405"/>
      <c r="K106" s="1405"/>
      <c r="L106" s="1405"/>
      <c r="M106" s="1405"/>
      <c r="N106" s="1405"/>
      <c r="O106" s="1405"/>
      <c r="P106" s="1405"/>
      <c r="Q106" s="1405"/>
      <c r="R106" s="1405"/>
      <c r="S106" s="1731"/>
    </row>
    <row r="107" spans="1:19" s="1537" customFormat="1" x14ac:dyDescent="0.2">
      <c r="A107" s="1402"/>
      <c r="B107" s="1405"/>
      <c r="C107" s="1407"/>
      <c r="D107" s="1405"/>
      <c r="E107" s="1405"/>
      <c r="F107" s="1405"/>
      <c r="G107" s="1405"/>
      <c r="H107" s="1405"/>
      <c r="I107" s="1405"/>
      <c r="J107" s="1405"/>
      <c r="K107" s="1405"/>
      <c r="L107" s="1405"/>
      <c r="M107" s="1405"/>
      <c r="N107" s="1405"/>
      <c r="O107" s="1405"/>
      <c r="P107" s="1405"/>
      <c r="Q107" s="1405"/>
      <c r="R107" s="1405"/>
      <c r="S107" s="1731"/>
    </row>
    <row r="108" spans="1:19" s="1730" customFormat="1" ht="15" customHeight="1" x14ac:dyDescent="0.2">
      <c r="A108" s="1402"/>
      <c r="B108" s="1405"/>
      <c r="C108" s="1407"/>
      <c r="D108" s="1405"/>
      <c r="E108" s="1405"/>
      <c r="F108" s="1405"/>
      <c r="G108" s="1405"/>
      <c r="H108" s="1405"/>
      <c r="I108" s="1405"/>
      <c r="J108" s="1405"/>
      <c r="K108" s="1405"/>
      <c r="L108" s="1405"/>
      <c r="M108" s="1405"/>
      <c r="N108" s="1405"/>
      <c r="O108" s="1405"/>
      <c r="P108" s="1405"/>
      <c r="Q108" s="1405"/>
      <c r="R108" s="1405"/>
      <c r="S108" s="1731"/>
    </row>
    <row r="109" spans="1:19" s="1537" customFormat="1" ht="12.75" customHeight="1" x14ac:dyDescent="0.2">
      <c r="A109" s="1402"/>
      <c r="B109" s="1405"/>
      <c r="C109" s="1407"/>
      <c r="D109" s="1405"/>
      <c r="E109" s="1405"/>
      <c r="F109" s="1405"/>
      <c r="G109" s="1405"/>
      <c r="H109" s="1405"/>
      <c r="I109" s="1405"/>
      <c r="J109" s="1405"/>
      <c r="K109" s="1405"/>
      <c r="L109" s="1405"/>
      <c r="M109" s="1405"/>
      <c r="N109" s="1405"/>
      <c r="O109" s="1405"/>
      <c r="P109" s="1405"/>
      <c r="Q109" s="1405"/>
      <c r="R109" s="1405"/>
      <c r="S109" s="1731"/>
    </row>
    <row r="110" spans="1:19" s="1537" customFormat="1" ht="12.75" customHeight="1" x14ac:dyDescent="0.2">
      <c r="A110" s="1402"/>
      <c r="B110" s="1405"/>
      <c r="C110" s="1407"/>
      <c r="D110" s="1405"/>
      <c r="E110" s="1405"/>
      <c r="F110" s="1405"/>
      <c r="G110" s="1405"/>
      <c r="H110" s="1405"/>
      <c r="I110" s="1405"/>
      <c r="J110" s="1405"/>
      <c r="K110" s="1405"/>
      <c r="L110" s="1405"/>
      <c r="M110" s="1405"/>
      <c r="N110" s="1405"/>
      <c r="O110" s="1405"/>
      <c r="P110" s="1405"/>
      <c r="Q110" s="1405"/>
      <c r="R110" s="1405"/>
      <c r="S110" s="1731"/>
    </row>
    <row r="111" spans="1:19" s="1537" customFormat="1" x14ac:dyDescent="0.2">
      <c r="A111" s="1402"/>
      <c r="B111" s="1405"/>
      <c r="C111" s="1407"/>
      <c r="D111" s="1405"/>
      <c r="E111" s="1405"/>
      <c r="F111" s="1405"/>
      <c r="G111" s="1405"/>
      <c r="H111" s="1405"/>
      <c r="I111" s="1405"/>
      <c r="J111" s="1405"/>
      <c r="K111" s="1405"/>
      <c r="L111" s="1405"/>
      <c r="M111" s="1405"/>
      <c r="N111" s="1405"/>
      <c r="O111" s="1405"/>
      <c r="P111" s="1405"/>
      <c r="Q111" s="1405"/>
      <c r="R111" s="1405"/>
      <c r="S111" s="1731"/>
    </row>
    <row r="112" spans="1:19" s="1537" customFormat="1" x14ac:dyDescent="0.2">
      <c r="A112" s="1402"/>
      <c r="B112" s="1405"/>
      <c r="C112" s="1407"/>
      <c r="D112" s="1405"/>
      <c r="E112" s="1405"/>
      <c r="F112" s="1405"/>
      <c r="G112" s="1405"/>
      <c r="H112" s="1405"/>
      <c r="I112" s="1405"/>
      <c r="J112" s="1405"/>
      <c r="K112" s="1405"/>
      <c r="L112" s="1405"/>
      <c r="M112" s="1405"/>
      <c r="N112" s="1405"/>
      <c r="O112" s="1405"/>
      <c r="P112" s="1405"/>
      <c r="Q112" s="1405"/>
      <c r="R112" s="1405"/>
      <c r="S112" s="1731"/>
    </row>
    <row r="113" spans="1:19" s="1730" customFormat="1" ht="13.5" customHeight="1" x14ac:dyDescent="0.2">
      <c r="A113" s="1402"/>
      <c r="B113" s="1405"/>
      <c r="C113" s="1407"/>
      <c r="D113" s="1405"/>
      <c r="E113" s="1405"/>
      <c r="F113" s="1405"/>
      <c r="G113" s="1405"/>
      <c r="H113" s="1405"/>
      <c r="I113" s="1405"/>
      <c r="J113" s="1405"/>
      <c r="K113" s="1405"/>
      <c r="L113" s="1405"/>
      <c r="M113" s="1405"/>
      <c r="N113" s="1405"/>
      <c r="O113" s="1405"/>
      <c r="P113" s="1405"/>
      <c r="Q113" s="1405"/>
      <c r="R113" s="1405"/>
      <c r="S113" s="1731"/>
    </row>
    <row r="114" spans="1:19" s="1537" customFormat="1" ht="12.75" customHeight="1" x14ac:dyDescent="0.2">
      <c r="A114" s="1402"/>
      <c r="B114" s="1405"/>
      <c r="C114" s="1407"/>
      <c r="D114" s="1405"/>
      <c r="E114" s="1405"/>
      <c r="F114" s="1405"/>
      <c r="G114" s="1405"/>
      <c r="H114" s="1405"/>
      <c r="I114" s="1405"/>
      <c r="J114" s="1405"/>
      <c r="K114" s="1405"/>
      <c r="L114" s="1405"/>
      <c r="M114" s="1405"/>
      <c r="N114" s="1405"/>
      <c r="O114" s="1405"/>
      <c r="P114" s="1405"/>
      <c r="Q114" s="1405"/>
      <c r="R114" s="1405"/>
      <c r="S114" s="1731"/>
    </row>
    <row r="115" spans="1:19" s="1537" customFormat="1" ht="12.75" customHeight="1" x14ac:dyDescent="0.2">
      <c r="A115" s="1402"/>
      <c r="B115" s="1405"/>
      <c r="C115" s="1407"/>
      <c r="D115" s="1405"/>
      <c r="E115" s="1405"/>
      <c r="F115" s="1405"/>
      <c r="G115" s="1405"/>
      <c r="H115" s="1405"/>
      <c r="I115" s="1405"/>
      <c r="J115" s="1405"/>
      <c r="K115" s="1405"/>
      <c r="L115" s="1405"/>
      <c r="M115" s="1405"/>
      <c r="N115" s="1405"/>
      <c r="O115" s="1405"/>
      <c r="P115" s="1405"/>
      <c r="Q115" s="1405"/>
      <c r="R115" s="1405"/>
      <c r="S115" s="1731"/>
    </row>
    <row r="116" spans="1:19" s="1537" customFormat="1" x14ac:dyDescent="0.2">
      <c r="A116" s="1402"/>
      <c r="B116" s="1405"/>
      <c r="C116" s="1407"/>
      <c r="D116" s="1405"/>
      <c r="E116" s="1405"/>
      <c r="F116" s="1405"/>
      <c r="G116" s="1405"/>
      <c r="H116" s="1405"/>
      <c r="I116" s="1405"/>
      <c r="J116" s="1405"/>
      <c r="K116" s="1405"/>
      <c r="L116" s="1405"/>
      <c r="M116" s="1405"/>
      <c r="N116" s="1405"/>
      <c r="O116" s="1405"/>
      <c r="P116" s="1405"/>
      <c r="Q116" s="1405"/>
      <c r="R116" s="1405"/>
      <c r="S116" s="1731"/>
    </row>
    <row r="117" spans="1:19" s="1537" customFormat="1" x14ac:dyDescent="0.2">
      <c r="A117" s="1402"/>
      <c r="B117" s="1405"/>
      <c r="C117" s="1407"/>
      <c r="D117" s="1405"/>
      <c r="E117" s="1405"/>
      <c r="F117" s="1405"/>
      <c r="G117" s="1405"/>
      <c r="H117" s="1405"/>
      <c r="I117" s="1405"/>
      <c r="J117" s="1405"/>
      <c r="K117" s="1405"/>
      <c r="L117" s="1405"/>
      <c r="M117" s="1405"/>
      <c r="N117" s="1405"/>
      <c r="O117" s="1405"/>
      <c r="P117" s="1405"/>
      <c r="Q117" s="1405"/>
      <c r="R117" s="1405"/>
      <c r="S117" s="1731"/>
    </row>
    <row r="118" spans="1:19" s="1537" customFormat="1" x14ac:dyDescent="0.2">
      <c r="A118" s="1402"/>
      <c r="B118" s="1405"/>
      <c r="C118" s="1407"/>
      <c r="D118" s="1405"/>
      <c r="E118" s="1405"/>
      <c r="F118" s="1405"/>
      <c r="G118" s="1405"/>
      <c r="H118" s="1405"/>
      <c r="I118" s="1405"/>
      <c r="J118" s="1405"/>
      <c r="K118" s="1405"/>
      <c r="L118" s="1405"/>
      <c r="M118" s="1405"/>
      <c r="N118" s="1405"/>
      <c r="O118" s="1405"/>
      <c r="P118" s="1405"/>
      <c r="Q118" s="1405"/>
      <c r="R118" s="1405"/>
      <c r="S118" s="1731"/>
    </row>
    <row r="119" spans="1:19" s="1730" customFormat="1" ht="22.5" customHeight="1" x14ac:dyDescent="0.2">
      <c r="A119" s="1402"/>
      <c r="B119" s="1405"/>
      <c r="C119" s="1407"/>
      <c r="D119" s="1405"/>
      <c r="E119" s="1405"/>
      <c r="F119" s="1405"/>
      <c r="G119" s="1405"/>
      <c r="H119" s="1405"/>
      <c r="I119" s="1405"/>
      <c r="J119" s="1405"/>
      <c r="K119" s="1405"/>
      <c r="L119" s="1405"/>
      <c r="M119" s="1405"/>
      <c r="N119" s="1405"/>
      <c r="O119" s="1405"/>
      <c r="P119" s="1405"/>
      <c r="Q119" s="1405"/>
      <c r="R119" s="1405"/>
      <c r="S119" s="1731"/>
    </row>
    <row r="120" spans="1:19" s="1537" customFormat="1" ht="12.75" customHeight="1" x14ac:dyDescent="0.2">
      <c r="A120" s="1402"/>
      <c r="B120" s="1405"/>
      <c r="C120" s="1407"/>
      <c r="D120" s="1405"/>
      <c r="E120" s="1405"/>
      <c r="F120" s="1405"/>
      <c r="G120" s="1405"/>
      <c r="H120" s="1405"/>
      <c r="I120" s="1405"/>
      <c r="J120" s="1405"/>
      <c r="K120" s="1405"/>
      <c r="L120" s="1405"/>
      <c r="M120" s="1405"/>
      <c r="N120" s="1405"/>
      <c r="O120" s="1405"/>
      <c r="P120" s="1405"/>
      <c r="Q120" s="1405"/>
      <c r="R120" s="1405"/>
      <c r="S120" s="1731"/>
    </row>
    <row r="121" spans="1:19" s="1537" customFormat="1" ht="12.75" customHeight="1" x14ac:dyDescent="0.2">
      <c r="A121" s="1402"/>
      <c r="B121" s="1405"/>
      <c r="C121" s="1407"/>
      <c r="D121" s="1405"/>
      <c r="E121" s="1405"/>
      <c r="F121" s="1405"/>
      <c r="G121" s="1405"/>
      <c r="H121" s="1405"/>
      <c r="I121" s="1405"/>
      <c r="J121" s="1405"/>
      <c r="K121" s="1405"/>
      <c r="L121" s="1405"/>
      <c r="M121" s="1405"/>
      <c r="N121" s="1405"/>
      <c r="O121" s="1405"/>
      <c r="P121" s="1405"/>
      <c r="Q121" s="1405"/>
      <c r="R121" s="1405"/>
      <c r="S121" s="1731"/>
    </row>
    <row r="122" spans="1:19" s="1537" customFormat="1" x14ac:dyDescent="0.2">
      <c r="A122" s="1402"/>
      <c r="B122" s="1405"/>
      <c r="C122" s="1407"/>
      <c r="D122" s="1405"/>
      <c r="E122" s="1405"/>
      <c r="F122" s="1405"/>
      <c r="G122" s="1405"/>
      <c r="H122" s="1405"/>
      <c r="I122" s="1405"/>
      <c r="J122" s="1405"/>
      <c r="K122" s="1405"/>
      <c r="L122" s="1405"/>
      <c r="M122" s="1405"/>
      <c r="N122" s="1405"/>
      <c r="O122" s="1405"/>
      <c r="P122" s="1405"/>
      <c r="Q122" s="1405"/>
      <c r="R122" s="1405"/>
      <c r="S122" s="1731"/>
    </row>
    <row r="123" spans="1:19" s="1537" customFormat="1" x14ac:dyDescent="0.2">
      <c r="A123" s="1402"/>
      <c r="B123" s="1405"/>
      <c r="C123" s="1407"/>
      <c r="D123" s="1405"/>
      <c r="E123" s="1405"/>
      <c r="F123" s="1405"/>
      <c r="G123" s="1405"/>
      <c r="H123" s="1405"/>
      <c r="I123" s="1405"/>
      <c r="J123" s="1405"/>
      <c r="K123" s="1405"/>
      <c r="L123" s="1405"/>
      <c r="M123" s="1405"/>
      <c r="N123" s="1405"/>
      <c r="O123" s="1405"/>
      <c r="P123" s="1405"/>
      <c r="Q123" s="1405"/>
      <c r="R123" s="1405"/>
      <c r="S123" s="1731"/>
    </row>
    <row r="124" spans="1:19" s="1730" customFormat="1" ht="12.75" customHeight="1" x14ac:dyDescent="0.2">
      <c r="A124" s="1402"/>
      <c r="B124" s="1405"/>
      <c r="C124" s="1407"/>
      <c r="D124" s="1405"/>
      <c r="E124" s="1405"/>
      <c r="F124" s="1405"/>
      <c r="G124" s="1405"/>
      <c r="H124" s="1405"/>
      <c r="I124" s="1405"/>
      <c r="J124" s="1405"/>
      <c r="K124" s="1405"/>
      <c r="L124" s="1405"/>
      <c r="M124" s="1405"/>
      <c r="N124" s="1405"/>
      <c r="O124" s="1405"/>
      <c r="P124" s="1405"/>
      <c r="Q124" s="1405"/>
      <c r="R124" s="1405"/>
      <c r="S124" s="1731"/>
    </row>
    <row r="125" spans="1:19" s="1537" customFormat="1" ht="9.75" customHeight="1" x14ac:dyDescent="0.2">
      <c r="A125" s="1402"/>
      <c r="B125" s="1405"/>
      <c r="C125" s="1407"/>
      <c r="D125" s="1405"/>
      <c r="E125" s="1405"/>
      <c r="F125" s="1405"/>
      <c r="G125" s="1405"/>
      <c r="H125" s="1405"/>
      <c r="I125" s="1405"/>
      <c r="J125" s="1405"/>
      <c r="K125" s="1405"/>
      <c r="L125" s="1405"/>
      <c r="M125" s="1405"/>
      <c r="N125" s="1405"/>
      <c r="O125" s="1405"/>
      <c r="P125" s="1405"/>
      <c r="Q125" s="1405"/>
      <c r="R125" s="1405"/>
      <c r="S125" s="1731"/>
    </row>
    <row r="126" spans="1:19" s="1537" customFormat="1" ht="12.75" customHeight="1" x14ac:dyDescent="0.2">
      <c r="A126" s="1402"/>
      <c r="B126" s="1405"/>
      <c r="C126" s="1407"/>
      <c r="D126" s="1405"/>
      <c r="E126" s="1405"/>
      <c r="F126" s="1405"/>
      <c r="G126" s="1405"/>
      <c r="H126" s="1405"/>
      <c r="I126" s="1405"/>
      <c r="J126" s="1405"/>
      <c r="K126" s="1405"/>
      <c r="L126" s="1405"/>
      <c r="M126" s="1405"/>
      <c r="N126" s="1405"/>
      <c r="O126" s="1405"/>
      <c r="P126" s="1405"/>
      <c r="Q126" s="1405"/>
      <c r="R126" s="1405"/>
      <c r="S126" s="1731"/>
    </row>
    <row r="127" spans="1:19" s="1537" customFormat="1" x14ac:dyDescent="0.2">
      <c r="A127" s="1402"/>
      <c r="B127" s="1405"/>
      <c r="C127" s="1407"/>
      <c r="D127" s="1405"/>
      <c r="E127" s="1405"/>
      <c r="F127" s="1405"/>
      <c r="G127" s="1405"/>
      <c r="H127" s="1405"/>
      <c r="I127" s="1405"/>
      <c r="J127" s="1405"/>
      <c r="K127" s="1405"/>
      <c r="L127" s="1405"/>
      <c r="M127" s="1405"/>
      <c r="N127" s="1405"/>
      <c r="O127" s="1405"/>
      <c r="P127" s="1405"/>
      <c r="Q127" s="1405"/>
      <c r="R127" s="1405"/>
      <c r="S127" s="1731"/>
    </row>
    <row r="128" spans="1:19" s="1537" customFormat="1" x14ac:dyDescent="0.2">
      <c r="A128" s="1402"/>
      <c r="B128" s="1405"/>
      <c r="C128" s="1407"/>
      <c r="D128" s="1405"/>
      <c r="E128" s="1405"/>
      <c r="F128" s="1405"/>
      <c r="G128" s="1405"/>
      <c r="H128" s="1405"/>
      <c r="I128" s="1405"/>
      <c r="J128" s="1405"/>
      <c r="K128" s="1405"/>
      <c r="L128" s="1405"/>
      <c r="M128" s="1405"/>
      <c r="N128" s="1405"/>
      <c r="O128" s="1405"/>
      <c r="P128" s="1405"/>
      <c r="Q128" s="1405"/>
      <c r="R128" s="1405"/>
      <c r="S128" s="1731"/>
    </row>
    <row r="129" spans="1:19" s="1730" customFormat="1" ht="13.5" customHeight="1" x14ac:dyDescent="0.2">
      <c r="A129" s="1402"/>
      <c r="B129" s="1405"/>
      <c r="C129" s="1407"/>
      <c r="D129" s="1405"/>
      <c r="E129" s="1405"/>
      <c r="F129" s="1405"/>
      <c r="G129" s="1405"/>
      <c r="H129" s="1405"/>
      <c r="I129" s="1405"/>
      <c r="J129" s="1405"/>
      <c r="K129" s="1405"/>
      <c r="L129" s="1405"/>
      <c r="M129" s="1405"/>
      <c r="N129" s="1405"/>
      <c r="O129" s="1405"/>
      <c r="P129" s="1405"/>
      <c r="Q129" s="1405"/>
      <c r="R129" s="1405"/>
      <c r="S129" s="1731"/>
    </row>
    <row r="130" spans="1:19" s="1537" customFormat="1" ht="9.75" customHeight="1" x14ac:dyDescent="0.2">
      <c r="A130" s="1402"/>
      <c r="B130" s="1405"/>
      <c r="C130" s="1407"/>
      <c r="D130" s="1405"/>
      <c r="E130" s="1405"/>
      <c r="F130" s="1405"/>
      <c r="G130" s="1405"/>
      <c r="H130" s="1405"/>
      <c r="I130" s="1405"/>
      <c r="J130" s="1405"/>
      <c r="K130" s="1405"/>
      <c r="L130" s="1405"/>
      <c r="M130" s="1405"/>
      <c r="N130" s="1405"/>
      <c r="O130" s="1405"/>
      <c r="P130" s="1405"/>
      <c r="Q130" s="1405"/>
      <c r="R130" s="1405"/>
      <c r="S130" s="1731"/>
    </row>
    <row r="131" spans="1:19" s="1537" customFormat="1" ht="12.75" customHeight="1" x14ac:dyDescent="0.2">
      <c r="A131" s="1402"/>
      <c r="B131" s="1405"/>
      <c r="C131" s="1407"/>
      <c r="D131" s="1405"/>
      <c r="E131" s="1405"/>
      <c r="F131" s="1405"/>
      <c r="G131" s="1405"/>
      <c r="H131" s="1405"/>
      <c r="I131" s="1405"/>
      <c r="J131" s="1405"/>
      <c r="K131" s="1405"/>
      <c r="L131" s="1405"/>
      <c r="M131" s="1405"/>
      <c r="N131" s="1405"/>
      <c r="O131" s="1405"/>
      <c r="P131" s="1405"/>
      <c r="Q131" s="1405"/>
      <c r="R131" s="1405"/>
      <c r="S131" s="1731"/>
    </row>
    <row r="132" spans="1:19" s="1537" customFormat="1" x14ac:dyDescent="0.2">
      <c r="A132" s="1402"/>
      <c r="B132" s="1405"/>
      <c r="C132" s="1407"/>
      <c r="D132" s="1405"/>
      <c r="E132" s="1405"/>
      <c r="F132" s="1405"/>
      <c r="G132" s="1405"/>
      <c r="H132" s="1405"/>
      <c r="I132" s="1405"/>
      <c r="J132" s="1405"/>
      <c r="K132" s="1405"/>
      <c r="L132" s="1405"/>
      <c r="M132" s="1405"/>
      <c r="N132" s="1405"/>
      <c r="O132" s="1405"/>
      <c r="P132" s="1405"/>
      <c r="Q132" s="1405"/>
      <c r="R132" s="1405"/>
      <c r="S132" s="1731"/>
    </row>
    <row r="133" spans="1:19" s="1537" customFormat="1" x14ac:dyDescent="0.2">
      <c r="A133" s="1402"/>
      <c r="B133" s="1405"/>
      <c r="C133" s="1407"/>
      <c r="D133" s="1405"/>
      <c r="E133" s="1405"/>
      <c r="F133" s="1405"/>
      <c r="G133" s="1405"/>
      <c r="H133" s="1405"/>
      <c r="I133" s="1405"/>
      <c r="J133" s="1405"/>
      <c r="K133" s="1405"/>
      <c r="L133" s="1405"/>
      <c r="M133" s="1405"/>
      <c r="N133" s="1405"/>
      <c r="O133" s="1405"/>
      <c r="P133" s="1405"/>
      <c r="Q133" s="1405"/>
      <c r="R133" s="1405"/>
      <c r="S133" s="1731"/>
    </row>
    <row r="134" spans="1:19" s="1537" customFormat="1" x14ac:dyDescent="0.2">
      <c r="A134" s="1402"/>
      <c r="B134" s="1405"/>
      <c r="C134" s="1407"/>
      <c r="D134" s="1405"/>
      <c r="E134" s="1405"/>
      <c r="F134" s="1405"/>
      <c r="G134" s="1405"/>
      <c r="H134" s="1405"/>
      <c r="I134" s="1405"/>
      <c r="J134" s="1405"/>
      <c r="K134" s="1405"/>
      <c r="L134" s="1405"/>
      <c r="M134" s="1405"/>
      <c r="N134" s="1405"/>
      <c r="O134" s="1405"/>
      <c r="P134" s="1405"/>
      <c r="Q134" s="1405"/>
      <c r="R134" s="1405"/>
      <c r="S134" s="1731"/>
    </row>
    <row r="135" spans="1:19" s="1537" customFormat="1" x14ac:dyDescent="0.2">
      <c r="A135" s="1402"/>
      <c r="B135" s="1405"/>
      <c r="C135" s="1407"/>
      <c r="D135" s="1405"/>
      <c r="E135" s="1405"/>
      <c r="F135" s="1405"/>
      <c r="G135" s="1405"/>
      <c r="H135" s="1405"/>
      <c r="I135" s="1405"/>
      <c r="J135" s="1405"/>
      <c r="K135" s="1405"/>
      <c r="L135" s="1405"/>
      <c r="M135" s="1405"/>
      <c r="N135" s="1405"/>
      <c r="O135" s="1405"/>
      <c r="P135" s="1405"/>
      <c r="Q135" s="1405"/>
      <c r="R135" s="1405"/>
      <c r="S135" s="1731"/>
    </row>
    <row r="136" spans="1:19" s="1537" customFormat="1" x14ac:dyDescent="0.2">
      <c r="A136" s="1402"/>
      <c r="B136" s="1405"/>
      <c r="C136" s="1407"/>
      <c r="D136" s="1405"/>
      <c r="E136" s="1405"/>
      <c r="F136" s="1405"/>
      <c r="G136" s="1405"/>
      <c r="H136" s="1405"/>
      <c r="I136" s="1405"/>
      <c r="J136" s="1405"/>
      <c r="K136" s="1405"/>
      <c r="L136" s="1405"/>
      <c r="M136" s="1405"/>
      <c r="N136" s="1405"/>
      <c r="O136" s="1405"/>
      <c r="P136" s="1405"/>
      <c r="Q136" s="1405"/>
      <c r="R136" s="1405"/>
      <c r="S136" s="1731"/>
    </row>
    <row r="137" spans="1:19" s="1730" customFormat="1" ht="22.5" customHeight="1" x14ac:dyDescent="0.2">
      <c r="A137" s="1402"/>
      <c r="B137" s="1405"/>
      <c r="C137" s="1407"/>
      <c r="D137" s="1405"/>
      <c r="E137" s="1405"/>
      <c r="F137" s="1405"/>
      <c r="G137" s="1405"/>
      <c r="H137" s="1405"/>
      <c r="I137" s="1405"/>
      <c r="J137" s="1405"/>
      <c r="K137" s="1405"/>
      <c r="L137" s="1405"/>
      <c r="M137" s="1405"/>
      <c r="N137" s="1405"/>
      <c r="O137" s="1405"/>
      <c r="P137" s="1405"/>
      <c r="Q137" s="1405"/>
      <c r="R137" s="1405"/>
      <c r="S137" s="1731"/>
    </row>
    <row r="138" spans="1:19" s="1537" customFormat="1" ht="12.75" customHeight="1" x14ac:dyDescent="0.2">
      <c r="A138" s="1402"/>
      <c r="B138" s="1405"/>
      <c r="C138" s="1407"/>
      <c r="D138" s="1405"/>
      <c r="E138" s="1405"/>
      <c r="F138" s="1405"/>
      <c r="G138" s="1405"/>
      <c r="H138" s="1405"/>
      <c r="I138" s="1405"/>
      <c r="J138" s="1405"/>
      <c r="K138" s="1405"/>
      <c r="L138" s="1405"/>
      <c r="M138" s="1405"/>
      <c r="N138" s="1405"/>
      <c r="O138" s="1405"/>
      <c r="P138" s="1405"/>
      <c r="Q138" s="1405"/>
      <c r="R138" s="1405"/>
      <c r="S138" s="1731"/>
    </row>
    <row r="139" spans="1:19" s="1537" customFormat="1" ht="12.75" customHeight="1" x14ac:dyDescent="0.2">
      <c r="A139" s="1402"/>
      <c r="B139" s="1405"/>
      <c r="C139" s="1407"/>
      <c r="D139" s="1405"/>
      <c r="E139" s="1405"/>
      <c r="F139" s="1405"/>
      <c r="G139" s="1405"/>
      <c r="H139" s="1405"/>
      <c r="I139" s="1405"/>
      <c r="J139" s="1405"/>
      <c r="K139" s="1405"/>
      <c r="L139" s="1405"/>
      <c r="M139" s="1405"/>
      <c r="N139" s="1405"/>
      <c r="O139" s="1405"/>
      <c r="P139" s="1405"/>
      <c r="Q139" s="1405"/>
      <c r="R139" s="1405"/>
      <c r="S139" s="1731"/>
    </row>
    <row r="140" spans="1:19" s="1537" customFormat="1" x14ac:dyDescent="0.2">
      <c r="A140" s="1402"/>
      <c r="B140" s="1405"/>
      <c r="C140" s="1407"/>
      <c r="D140" s="1405"/>
      <c r="E140" s="1405"/>
      <c r="F140" s="1405"/>
      <c r="G140" s="1405"/>
      <c r="H140" s="1405"/>
      <c r="I140" s="1405"/>
      <c r="J140" s="1405"/>
      <c r="K140" s="1405"/>
      <c r="L140" s="1405"/>
      <c r="M140" s="1405"/>
      <c r="N140" s="1405"/>
      <c r="O140" s="1405"/>
      <c r="P140" s="1405"/>
      <c r="Q140" s="1405"/>
      <c r="R140" s="1405"/>
      <c r="S140" s="1731"/>
    </row>
    <row r="141" spans="1:19" s="1537" customFormat="1" x14ac:dyDescent="0.2">
      <c r="A141" s="1402"/>
      <c r="B141" s="1405"/>
      <c r="C141" s="1407"/>
      <c r="D141" s="1405"/>
      <c r="E141" s="1405"/>
      <c r="F141" s="1405"/>
      <c r="G141" s="1405"/>
      <c r="H141" s="1405"/>
      <c r="I141" s="1405"/>
      <c r="J141" s="1405"/>
      <c r="K141" s="1405"/>
      <c r="L141" s="1405"/>
      <c r="M141" s="1405"/>
      <c r="N141" s="1405"/>
      <c r="O141" s="1405"/>
      <c r="P141" s="1405"/>
      <c r="Q141" s="1405"/>
      <c r="R141" s="1405"/>
      <c r="S141" s="1731"/>
    </row>
    <row r="142" spans="1:19" s="1730" customFormat="1" ht="34.5" customHeight="1" x14ac:dyDescent="0.2">
      <c r="A142" s="1402"/>
      <c r="B142" s="1405"/>
      <c r="C142" s="1407"/>
      <c r="D142" s="1405"/>
      <c r="E142" s="1405"/>
      <c r="F142" s="1405"/>
      <c r="G142" s="1405"/>
      <c r="H142" s="1405"/>
      <c r="I142" s="1405"/>
      <c r="J142" s="1405"/>
      <c r="K142" s="1405"/>
      <c r="L142" s="1405"/>
      <c r="M142" s="1405"/>
      <c r="N142" s="1405"/>
      <c r="O142" s="1405"/>
      <c r="P142" s="1405"/>
      <c r="Q142" s="1405"/>
      <c r="R142" s="1405"/>
      <c r="S142" s="1731"/>
    </row>
    <row r="143" spans="1:19" s="1537" customFormat="1" ht="14.25" customHeight="1" x14ac:dyDescent="0.2">
      <c r="A143" s="1402"/>
      <c r="B143" s="1405"/>
      <c r="C143" s="1407"/>
      <c r="D143" s="1405"/>
      <c r="E143" s="1405"/>
      <c r="F143" s="1405"/>
      <c r="G143" s="1405"/>
      <c r="H143" s="1405"/>
      <c r="I143" s="1405"/>
      <c r="J143" s="1405"/>
      <c r="K143" s="1405"/>
      <c r="L143" s="1405"/>
      <c r="M143" s="1405"/>
      <c r="N143" s="1405"/>
      <c r="O143" s="1405"/>
      <c r="P143" s="1405"/>
      <c r="Q143" s="1405"/>
      <c r="R143" s="1405"/>
      <c r="S143" s="1731"/>
    </row>
    <row r="144" spans="1:19" s="1537" customFormat="1" ht="12.75" customHeight="1" x14ac:dyDescent="0.2">
      <c r="A144" s="1402"/>
      <c r="B144" s="1405"/>
      <c r="C144" s="1407"/>
      <c r="D144" s="1405"/>
      <c r="E144" s="1405"/>
      <c r="F144" s="1405"/>
      <c r="G144" s="1405"/>
      <c r="H144" s="1405"/>
      <c r="I144" s="1405"/>
      <c r="J144" s="1405"/>
      <c r="K144" s="1405"/>
      <c r="L144" s="1405"/>
      <c r="M144" s="1405"/>
      <c r="N144" s="1405"/>
      <c r="O144" s="1405"/>
      <c r="P144" s="1405"/>
      <c r="Q144" s="1405"/>
      <c r="R144" s="1405"/>
      <c r="S144" s="1731"/>
    </row>
    <row r="145" spans="1:19" s="1537" customFormat="1" x14ac:dyDescent="0.2">
      <c r="A145" s="1402"/>
      <c r="B145" s="1405"/>
      <c r="C145" s="1407"/>
      <c r="D145" s="1405"/>
      <c r="E145" s="1405"/>
      <c r="F145" s="1405"/>
      <c r="G145" s="1405"/>
      <c r="H145" s="1405"/>
      <c r="I145" s="1405"/>
      <c r="J145" s="1405"/>
      <c r="K145" s="1405"/>
      <c r="L145" s="1405"/>
      <c r="M145" s="1405"/>
      <c r="N145" s="1405"/>
      <c r="O145" s="1405"/>
      <c r="P145" s="1405"/>
      <c r="Q145" s="1405"/>
      <c r="R145" s="1405"/>
      <c r="S145" s="1731"/>
    </row>
    <row r="146" spans="1:19" s="1537" customFormat="1" x14ac:dyDescent="0.2">
      <c r="A146" s="1402"/>
      <c r="B146" s="1405"/>
      <c r="C146" s="1407"/>
      <c r="D146" s="1405"/>
      <c r="E146" s="1405"/>
      <c r="F146" s="1405"/>
      <c r="G146" s="1405"/>
      <c r="H146" s="1405"/>
      <c r="I146" s="1405"/>
      <c r="J146" s="1405"/>
      <c r="K146" s="1405"/>
      <c r="L146" s="1405"/>
      <c r="M146" s="1405"/>
      <c r="N146" s="1405"/>
      <c r="O146" s="1405"/>
      <c r="P146" s="1405"/>
      <c r="Q146" s="1405"/>
      <c r="R146" s="1405"/>
      <c r="S146" s="1731"/>
    </row>
    <row r="147" spans="1:19" s="1537" customFormat="1" x14ac:dyDescent="0.2">
      <c r="A147" s="1402"/>
      <c r="B147" s="1405"/>
      <c r="C147" s="1407"/>
      <c r="D147" s="1405"/>
      <c r="E147" s="1405"/>
      <c r="F147" s="1405"/>
      <c r="G147" s="1405"/>
      <c r="H147" s="1405"/>
      <c r="I147" s="1405"/>
      <c r="J147" s="1405"/>
      <c r="K147" s="1405"/>
      <c r="L147" s="1405"/>
      <c r="M147" s="1405"/>
      <c r="N147" s="1405"/>
      <c r="O147" s="1405"/>
      <c r="P147" s="1405"/>
      <c r="Q147" s="1405"/>
      <c r="R147" s="1405"/>
      <c r="S147" s="1731"/>
    </row>
    <row r="148" spans="1:19" s="1730" customFormat="1" ht="36.75" customHeight="1" x14ac:dyDescent="0.2">
      <c r="A148" s="1402"/>
      <c r="B148" s="1405"/>
      <c r="C148" s="1407"/>
      <c r="D148" s="1405"/>
      <c r="E148" s="1405"/>
      <c r="F148" s="1405"/>
      <c r="G148" s="1405"/>
      <c r="H148" s="1405"/>
      <c r="I148" s="1405"/>
      <c r="J148" s="1405"/>
      <c r="K148" s="1405"/>
      <c r="L148" s="1405"/>
      <c r="M148" s="1405"/>
      <c r="N148" s="1405"/>
      <c r="O148" s="1405"/>
      <c r="P148" s="1405"/>
      <c r="Q148" s="1405"/>
      <c r="R148" s="1405"/>
      <c r="S148" s="1731"/>
    </row>
    <row r="149" spans="1:19" s="1537" customFormat="1" ht="9.75" customHeight="1" x14ac:dyDescent="0.2">
      <c r="A149" s="1402"/>
      <c r="B149" s="1405"/>
      <c r="C149" s="1407"/>
      <c r="D149" s="1405"/>
      <c r="E149" s="1405"/>
      <c r="F149" s="1405"/>
      <c r="G149" s="1405"/>
      <c r="H149" s="1405"/>
      <c r="I149" s="1405"/>
      <c r="J149" s="1405"/>
      <c r="K149" s="1405"/>
      <c r="L149" s="1405"/>
      <c r="M149" s="1405"/>
      <c r="N149" s="1405"/>
      <c r="O149" s="1405"/>
      <c r="P149" s="1405"/>
      <c r="Q149" s="1405"/>
      <c r="R149" s="1405"/>
      <c r="S149" s="1731"/>
    </row>
    <row r="150" spans="1:19" s="1537" customFormat="1" ht="12.75" customHeight="1" x14ac:dyDescent="0.2">
      <c r="A150" s="1402"/>
      <c r="B150" s="1405"/>
      <c r="C150" s="1407"/>
      <c r="D150" s="1405"/>
      <c r="E150" s="1405"/>
      <c r="F150" s="1405"/>
      <c r="G150" s="1405"/>
      <c r="H150" s="1405"/>
      <c r="I150" s="1405"/>
      <c r="J150" s="1405"/>
      <c r="K150" s="1405"/>
      <c r="L150" s="1405"/>
      <c r="M150" s="1405"/>
      <c r="N150" s="1405"/>
      <c r="O150" s="1405"/>
      <c r="P150" s="1405"/>
      <c r="Q150" s="1405"/>
      <c r="R150" s="1405"/>
      <c r="S150" s="1731"/>
    </row>
    <row r="151" spans="1:19" s="1537" customFormat="1" x14ac:dyDescent="0.2">
      <c r="A151" s="1402"/>
      <c r="B151" s="1405"/>
      <c r="C151" s="1407"/>
      <c r="D151" s="1405"/>
      <c r="E151" s="1405"/>
      <c r="F151" s="1405"/>
      <c r="G151" s="1405"/>
      <c r="H151" s="1405"/>
      <c r="I151" s="1405"/>
      <c r="J151" s="1405"/>
      <c r="K151" s="1405"/>
      <c r="L151" s="1405"/>
      <c r="M151" s="1405"/>
      <c r="N151" s="1405"/>
      <c r="O151" s="1405"/>
      <c r="P151" s="1405"/>
      <c r="Q151" s="1405"/>
      <c r="R151" s="1405"/>
      <c r="S151" s="1731"/>
    </row>
    <row r="152" spans="1:19" s="1537" customFormat="1" x14ac:dyDescent="0.2">
      <c r="A152" s="1402"/>
      <c r="B152" s="1405"/>
      <c r="C152" s="1407"/>
      <c r="D152" s="1405"/>
      <c r="E152" s="1405"/>
      <c r="F152" s="1405"/>
      <c r="G152" s="1405"/>
      <c r="H152" s="1405"/>
      <c r="I152" s="1405"/>
      <c r="J152" s="1405"/>
      <c r="K152" s="1405"/>
      <c r="L152" s="1405"/>
      <c r="M152" s="1405"/>
      <c r="N152" s="1405"/>
      <c r="O152" s="1405"/>
      <c r="P152" s="1405"/>
      <c r="Q152" s="1405"/>
      <c r="R152" s="1405"/>
      <c r="S152" s="1731"/>
    </row>
    <row r="153" spans="1:19" s="1537" customFormat="1" x14ac:dyDescent="0.2">
      <c r="A153" s="1402"/>
      <c r="B153" s="1405"/>
      <c r="C153" s="1407"/>
      <c r="D153" s="1405"/>
      <c r="E153" s="1405"/>
      <c r="F153" s="1405"/>
      <c r="G153" s="1405"/>
      <c r="H153" s="1405"/>
      <c r="I153" s="1405"/>
      <c r="J153" s="1405"/>
      <c r="K153" s="1405"/>
      <c r="L153" s="1405"/>
      <c r="M153" s="1405"/>
      <c r="N153" s="1405"/>
      <c r="O153" s="1405"/>
      <c r="P153" s="1405"/>
      <c r="Q153" s="1405"/>
      <c r="R153" s="1405"/>
      <c r="S153" s="1731"/>
    </row>
    <row r="154" spans="1:19" s="1730" customFormat="1" ht="33.75" customHeight="1" x14ac:dyDescent="0.2">
      <c r="A154" s="1402"/>
      <c r="B154" s="1405"/>
      <c r="C154" s="1407"/>
      <c r="D154" s="1405"/>
      <c r="E154" s="1405"/>
      <c r="F154" s="1405"/>
      <c r="G154" s="1405"/>
      <c r="H154" s="1405"/>
      <c r="I154" s="1405"/>
      <c r="J154" s="1405"/>
      <c r="K154" s="1405"/>
      <c r="L154" s="1405"/>
      <c r="M154" s="1405"/>
      <c r="N154" s="1405"/>
      <c r="O154" s="1405"/>
      <c r="P154" s="1405"/>
      <c r="Q154" s="1405"/>
      <c r="R154" s="1405"/>
      <c r="S154" s="1731"/>
    </row>
    <row r="155" spans="1:19" s="1537" customFormat="1" ht="9.75" customHeight="1" x14ac:dyDescent="0.2">
      <c r="A155" s="1402"/>
      <c r="B155" s="1405"/>
      <c r="C155" s="1407"/>
      <c r="D155" s="1405"/>
      <c r="E155" s="1405"/>
      <c r="F155" s="1405"/>
      <c r="G155" s="1405"/>
      <c r="H155" s="1405"/>
      <c r="I155" s="1405"/>
      <c r="J155" s="1405"/>
      <c r="K155" s="1405"/>
      <c r="L155" s="1405"/>
      <c r="M155" s="1405"/>
      <c r="N155" s="1405"/>
      <c r="O155" s="1405"/>
      <c r="P155" s="1405"/>
      <c r="Q155" s="1405"/>
      <c r="R155" s="1405"/>
      <c r="S155" s="1731"/>
    </row>
    <row r="156" spans="1:19" s="1537" customFormat="1" ht="12.75" customHeight="1" x14ac:dyDescent="0.2">
      <c r="A156" s="1402"/>
      <c r="B156" s="1405"/>
      <c r="C156" s="1407"/>
      <c r="D156" s="1405"/>
      <c r="E156" s="1405"/>
      <c r="F156" s="1405"/>
      <c r="G156" s="1405"/>
      <c r="H156" s="1405"/>
      <c r="I156" s="1405"/>
      <c r="J156" s="1405"/>
      <c r="K156" s="1405"/>
      <c r="L156" s="1405"/>
      <c r="M156" s="1405"/>
      <c r="N156" s="1405"/>
      <c r="O156" s="1405"/>
      <c r="P156" s="1405"/>
      <c r="Q156" s="1405"/>
      <c r="R156" s="1405"/>
      <c r="S156" s="1731"/>
    </row>
    <row r="157" spans="1:19" s="1537" customFormat="1" x14ac:dyDescent="0.2">
      <c r="A157" s="1402"/>
      <c r="B157" s="1405"/>
      <c r="C157" s="1407"/>
      <c r="D157" s="1405"/>
      <c r="E157" s="1405"/>
      <c r="F157" s="1405"/>
      <c r="G157" s="1405"/>
      <c r="H157" s="1405"/>
      <c r="I157" s="1405"/>
      <c r="J157" s="1405"/>
      <c r="K157" s="1405"/>
      <c r="L157" s="1405"/>
      <c r="M157" s="1405"/>
      <c r="N157" s="1405"/>
      <c r="O157" s="1405"/>
      <c r="P157" s="1405"/>
      <c r="Q157" s="1405"/>
      <c r="R157" s="1405"/>
      <c r="S157" s="1731"/>
    </row>
    <row r="158" spans="1:19" s="1537" customFormat="1" x14ac:dyDescent="0.2">
      <c r="A158" s="1402"/>
      <c r="B158" s="1405"/>
      <c r="C158" s="1407"/>
      <c r="D158" s="1405"/>
      <c r="E158" s="1405"/>
      <c r="F158" s="1405"/>
      <c r="G158" s="1405"/>
      <c r="H158" s="1405"/>
      <c r="I158" s="1405"/>
      <c r="J158" s="1405"/>
      <c r="K158" s="1405"/>
      <c r="L158" s="1405"/>
      <c r="M158" s="1405"/>
      <c r="N158" s="1405"/>
      <c r="O158" s="1405"/>
      <c r="P158" s="1405"/>
      <c r="Q158" s="1405"/>
      <c r="R158" s="1405"/>
      <c r="S158" s="1731"/>
    </row>
    <row r="159" spans="1:19" s="1537" customFormat="1" x14ac:dyDescent="0.2">
      <c r="A159" s="1402"/>
      <c r="B159" s="1405"/>
      <c r="C159" s="1407"/>
      <c r="D159" s="1405"/>
      <c r="E159" s="1405"/>
      <c r="F159" s="1405"/>
      <c r="G159" s="1405"/>
      <c r="H159" s="1405"/>
      <c r="I159" s="1405"/>
      <c r="J159" s="1405"/>
      <c r="K159" s="1405"/>
      <c r="L159" s="1405"/>
      <c r="M159" s="1405"/>
      <c r="N159" s="1405"/>
      <c r="O159" s="1405"/>
      <c r="P159" s="1405"/>
      <c r="Q159" s="1405"/>
      <c r="R159" s="1405"/>
      <c r="S159" s="1731"/>
    </row>
    <row r="160" spans="1:19" s="1537" customFormat="1" x14ac:dyDescent="0.2">
      <c r="A160" s="1402"/>
      <c r="B160" s="1405"/>
      <c r="C160" s="1407"/>
      <c r="D160" s="1405"/>
      <c r="E160" s="1405"/>
      <c r="F160" s="1405"/>
      <c r="G160" s="1405"/>
      <c r="H160" s="1405"/>
      <c r="I160" s="1405"/>
      <c r="J160" s="1405"/>
      <c r="K160" s="1405"/>
      <c r="L160" s="1405"/>
      <c r="M160" s="1405"/>
      <c r="N160" s="1405"/>
      <c r="O160" s="1405"/>
      <c r="P160" s="1405"/>
      <c r="Q160" s="1405"/>
      <c r="R160" s="1405"/>
      <c r="S160" s="1731"/>
    </row>
    <row r="161" spans="1:19" s="1729" customFormat="1" ht="14.25" customHeight="1" x14ac:dyDescent="0.2">
      <c r="A161" s="1402"/>
      <c r="B161" s="1405"/>
      <c r="C161" s="1407"/>
      <c r="D161" s="1405"/>
      <c r="E161" s="1405"/>
      <c r="F161" s="1405"/>
      <c r="G161" s="1405"/>
      <c r="H161" s="1405"/>
      <c r="I161" s="1405"/>
      <c r="J161" s="1405"/>
      <c r="K161" s="1405"/>
      <c r="L161" s="1405"/>
      <c r="M161" s="1405"/>
      <c r="N161" s="1405"/>
      <c r="O161" s="1405"/>
      <c r="P161" s="1405"/>
      <c r="Q161" s="1405"/>
      <c r="R161" s="1405"/>
      <c r="S161" s="1731"/>
    </row>
    <row r="162" spans="1:19" s="1537" customFormat="1" x14ac:dyDescent="0.2">
      <c r="A162" s="1402"/>
      <c r="B162" s="1405"/>
      <c r="C162" s="1407"/>
      <c r="D162" s="1405"/>
      <c r="E162" s="1405"/>
      <c r="F162" s="1405"/>
      <c r="G162" s="1405"/>
      <c r="H162" s="1405"/>
      <c r="I162" s="1405"/>
      <c r="J162" s="1405"/>
      <c r="K162" s="1405"/>
      <c r="L162" s="1405"/>
      <c r="M162" s="1405"/>
      <c r="N162" s="1405"/>
      <c r="O162" s="1405"/>
      <c r="P162" s="1405"/>
      <c r="Q162" s="1405"/>
      <c r="R162" s="1405"/>
      <c r="S162" s="1731"/>
    </row>
    <row r="163" spans="1:19" s="1733" customFormat="1" ht="23.25" customHeight="1" x14ac:dyDescent="0.2">
      <c r="A163" s="1402"/>
      <c r="B163" s="1405"/>
      <c r="C163" s="1407"/>
      <c r="D163" s="1405"/>
      <c r="E163" s="1405"/>
      <c r="F163" s="1405"/>
      <c r="G163" s="1405"/>
      <c r="H163" s="1405"/>
      <c r="I163" s="1405"/>
      <c r="J163" s="1405"/>
      <c r="K163" s="1405"/>
      <c r="L163" s="1405"/>
      <c r="M163" s="1405"/>
      <c r="N163" s="1405"/>
      <c r="O163" s="1405"/>
      <c r="P163" s="1405"/>
      <c r="Q163" s="1405"/>
      <c r="R163" s="1405"/>
      <c r="S163" s="1731"/>
    </row>
    <row r="164" spans="1:19" s="1537" customFormat="1" x14ac:dyDescent="0.2">
      <c r="A164" s="1402"/>
      <c r="B164" s="1405"/>
      <c r="C164" s="1407"/>
      <c r="D164" s="1405"/>
      <c r="E164" s="1405"/>
      <c r="F164" s="1405"/>
      <c r="G164" s="1405"/>
      <c r="H164" s="1405"/>
      <c r="I164" s="1405"/>
      <c r="J164" s="1405"/>
      <c r="K164" s="1405"/>
      <c r="L164" s="1405"/>
      <c r="M164" s="1405"/>
      <c r="N164" s="1405"/>
      <c r="O164" s="1405"/>
      <c r="P164" s="1405"/>
      <c r="Q164" s="1405"/>
      <c r="R164" s="1405"/>
      <c r="S164" s="1731"/>
    </row>
    <row r="165" spans="1:19" s="1732" customFormat="1" ht="15.75" customHeight="1" x14ac:dyDescent="0.2">
      <c r="A165" s="1402"/>
      <c r="B165" s="1405"/>
      <c r="C165" s="1407"/>
      <c r="D165" s="1405"/>
      <c r="E165" s="1405"/>
      <c r="F165" s="1405"/>
      <c r="G165" s="1405"/>
      <c r="H165" s="1405"/>
      <c r="I165" s="1405"/>
      <c r="J165" s="1405"/>
      <c r="K165" s="1405"/>
      <c r="L165" s="1405"/>
      <c r="M165" s="1405"/>
      <c r="N165" s="1405"/>
      <c r="O165" s="1405"/>
      <c r="P165" s="1405"/>
      <c r="Q165" s="1405"/>
      <c r="R165" s="1405"/>
      <c r="S165" s="1731"/>
    </row>
    <row r="166" spans="1:19" s="1732" customFormat="1" ht="12.75" customHeight="1" x14ac:dyDescent="0.2">
      <c r="A166" s="1402"/>
      <c r="B166" s="1405"/>
      <c r="C166" s="1407"/>
      <c r="D166" s="1405"/>
      <c r="E166" s="1405"/>
      <c r="F166" s="1405"/>
      <c r="G166" s="1405"/>
      <c r="H166" s="1405"/>
      <c r="I166" s="1405"/>
      <c r="J166" s="1405"/>
      <c r="K166" s="1405"/>
      <c r="L166" s="1405"/>
      <c r="M166" s="1405"/>
      <c r="N166" s="1405"/>
      <c r="O166" s="1405"/>
      <c r="P166" s="1405"/>
      <c r="Q166" s="1405"/>
      <c r="R166" s="1405"/>
      <c r="S166" s="1731"/>
    </row>
    <row r="167" spans="1:19" s="1732" customFormat="1" ht="12.75" customHeight="1" x14ac:dyDescent="0.2">
      <c r="A167" s="1402"/>
      <c r="B167" s="1405"/>
      <c r="C167" s="1407"/>
      <c r="D167" s="1405"/>
      <c r="E167" s="1405"/>
      <c r="F167" s="1405"/>
      <c r="G167" s="1405"/>
      <c r="H167" s="1405"/>
      <c r="I167" s="1405"/>
      <c r="J167" s="1405"/>
      <c r="K167" s="1405"/>
      <c r="L167" s="1405"/>
      <c r="M167" s="1405"/>
      <c r="N167" s="1405"/>
      <c r="O167" s="1405"/>
      <c r="P167" s="1405"/>
      <c r="Q167" s="1405"/>
      <c r="R167" s="1405"/>
      <c r="S167" s="1731"/>
    </row>
    <row r="168" spans="1:19" s="1732" customFormat="1" ht="12" customHeight="1" x14ac:dyDescent="0.2">
      <c r="A168" s="1402"/>
      <c r="B168" s="1405"/>
      <c r="C168" s="1407"/>
      <c r="D168" s="1405"/>
      <c r="E168" s="1405"/>
      <c r="F168" s="1405"/>
      <c r="G168" s="1405"/>
      <c r="H168" s="1405"/>
      <c r="I168" s="1405"/>
      <c r="J168" s="1405"/>
      <c r="K168" s="1405"/>
      <c r="L168" s="1405"/>
      <c r="M168" s="1405"/>
      <c r="N168" s="1405"/>
      <c r="O168" s="1405"/>
      <c r="P168" s="1405"/>
      <c r="Q168" s="1405"/>
      <c r="R168" s="1405"/>
      <c r="S168" s="1731"/>
    </row>
    <row r="169" spans="1:19" s="1729" customFormat="1" ht="24" customHeight="1" x14ac:dyDescent="0.2">
      <c r="A169" s="1402"/>
      <c r="B169" s="1405"/>
      <c r="C169" s="1407"/>
      <c r="D169" s="1405"/>
      <c r="E169" s="1405"/>
      <c r="F169" s="1405"/>
      <c r="G169" s="1405"/>
      <c r="H169" s="1405"/>
      <c r="I169" s="1405"/>
      <c r="J169" s="1405"/>
      <c r="K169" s="1405"/>
      <c r="L169" s="1405"/>
      <c r="M169" s="1405"/>
      <c r="N169" s="1405"/>
      <c r="O169" s="1405"/>
      <c r="P169" s="1405"/>
      <c r="Q169" s="1405"/>
      <c r="R169" s="1405"/>
      <c r="S169" s="1731"/>
    </row>
    <row r="170" spans="1:19" s="1537" customFormat="1" ht="11.25" customHeight="1" x14ac:dyDescent="0.2">
      <c r="A170" s="1402"/>
      <c r="B170" s="1405"/>
      <c r="C170" s="1407"/>
      <c r="D170" s="1405"/>
      <c r="E170" s="1405"/>
      <c r="F170" s="1405"/>
      <c r="G170" s="1405"/>
      <c r="H170" s="1405"/>
      <c r="I170" s="1405"/>
      <c r="J170" s="1405"/>
      <c r="K170" s="1405"/>
      <c r="L170" s="1405"/>
      <c r="M170" s="1405"/>
      <c r="N170" s="1405"/>
      <c r="O170" s="1405"/>
      <c r="P170" s="1405"/>
      <c r="Q170" s="1405"/>
      <c r="R170" s="1405"/>
      <c r="S170" s="1731"/>
    </row>
    <row r="171" spans="1:19" s="1537" customFormat="1" ht="12.75" customHeight="1" x14ac:dyDescent="0.2">
      <c r="A171" s="1402"/>
      <c r="B171" s="1405"/>
      <c r="C171" s="1407"/>
      <c r="D171" s="1405"/>
      <c r="E171" s="1405"/>
      <c r="F171" s="1405"/>
      <c r="G171" s="1405"/>
      <c r="H171" s="1405"/>
      <c r="I171" s="1405"/>
      <c r="J171" s="1405"/>
      <c r="K171" s="1405"/>
      <c r="L171" s="1405"/>
      <c r="M171" s="1405"/>
      <c r="N171" s="1405"/>
      <c r="O171" s="1405"/>
      <c r="P171" s="1405"/>
      <c r="Q171" s="1405"/>
      <c r="R171" s="1405"/>
      <c r="S171" s="1731"/>
    </row>
    <row r="172" spans="1:19" s="1537" customFormat="1" x14ac:dyDescent="0.2">
      <c r="A172" s="1402"/>
      <c r="B172" s="1405"/>
      <c r="C172" s="1407"/>
      <c r="D172" s="1405"/>
      <c r="E172" s="1405"/>
      <c r="F172" s="1405"/>
      <c r="G172" s="1405"/>
      <c r="H172" s="1405"/>
      <c r="I172" s="1405"/>
      <c r="J172" s="1405"/>
      <c r="K172" s="1405"/>
      <c r="L172" s="1405"/>
      <c r="M172" s="1405"/>
      <c r="N172" s="1405"/>
      <c r="O172" s="1405"/>
      <c r="P172" s="1405"/>
      <c r="Q172" s="1405"/>
      <c r="R172" s="1405"/>
      <c r="S172" s="1731"/>
    </row>
    <row r="173" spans="1:19" s="1537" customFormat="1" x14ac:dyDescent="0.2">
      <c r="A173" s="1402"/>
      <c r="B173" s="1405"/>
      <c r="C173" s="1407"/>
      <c r="D173" s="1405"/>
      <c r="E173" s="1405"/>
      <c r="F173" s="1405"/>
      <c r="G173" s="1405"/>
      <c r="H173" s="1405"/>
      <c r="I173" s="1405"/>
      <c r="J173" s="1405"/>
      <c r="K173" s="1405"/>
      <c r="L173" s="1405"/>
      <c r="M173" s="1405"/>
      <c r="N173" s="1405"/>
      <c r="O173" s="1405"/>
      <c r="P173" s="1405"/>
      <c r="Q173" s="1405"/>
      <c r="R173" s="1405"/>
      <c r="S173" s="1731"/>
    </row>
    <row r="174" spans="1:19" s="1537" customFormat="1" x14ac:dyDescent="0.2">
      <c r="A174" s="1402"/>
      <c r="B174" s="1405"/>
      <c r="C174" s="1407"/>
      <c r="D174" s="1405"/>
      <c r="E174" s="1405"/>
      <c r="F174" s="1405"/>
      <c r="G174" s="1405"/>
      <c r="H174" s="1405"/>
      <c r="I174" s="1405"/>
      <c r="J174" s="1405"/>
      <c r="K174" s="1405"/>
      <c r="L174" s="1405"/>
      <c r="M174" s="1405"/>
      <c r="N174" s="1405"/>
      <c r="O174" s="1405"/>
      <c r="P174" s="1405"/>
      <c r="Q174" s="1405"/>
      <c r="R174" s="1405"/>
      <c r="S174" s="1731"/>
    </row>
    <row r="175" spans="1:19" s="1537" customFormat="1" x14ac:dyDescent="0.2">
      <c r="A175" s="1402"/>
      <c r="B175" s="1405"/>
      <c r="C175" s="1407"/>
      <c r="D175" s="1405"/>
      <c r="E175" s="1405"/>
      <c r="F175" s="1405"/>
      <c r="G175" s="1405"/>
      <c r="H175" s="1405"/>
      <c r="I175" s="1405"/>
      <c r="J175" s="1405"/>
      <c r="K175" s="1405"/>
      <c r="L175" s="1405"/>
      <c r="M175" s="1405"/>
      <c r="N175" s="1405"/>
      <c r="O175" s="1405"/>
      <c r="P175" s="1405"/>
      <c r="Q175" s="1405"/>
      <c r="R175" s="1405"/>
      <c r="S175" s="1731"/>
    </row>
    <row r="176" spans="1:19" s="1537" customFormat="1" ht="21.75" customHeight="1" x14ac:dyDescent="0.2">
      <c r="A176" s="1402"/>
      <c r="B176" s="1405"/>
      <c r="C176" s="1407"/>
      <c r="D176" s="1405"/>
      <c r="E176" s="1405"/>
      <c r="F176" s="1405"/>
      <c r="G176" s="1405"/>
      <c r="H176" s="1405"/>
      <c r="I176" s="1405"/>
      <c r="J176" s="1405"/>
      <c r="K176" s="1405"/>
      <c r="L176" s="1405"/>
      <c r="M176" s="1405"/>
      <c r="N176" s="1405"/>
      <c r="O176" s="1405"/>
      <c r="P176" s="1405"/>
      <c r="Q176" s="1405"/>
      <c r="R176" s="1405"/>
      <c r="S176" s="1731"/>
    </row>
    <row r="177" spans="1:19" s="1537" customFormat="1" ht="12.75" customHeight="1" x14ac:dyDescent="0.2">
      <c r="A177" s="1402"/>
      <c r="B177" s="1405"/>
      <c r="C177" s="1407"/>
      <c r="D177" s="1405"/>
      <c r="E177" s="1405"/>
      <c r="F177" s="1405"/>
      <c r="G177" s="1405"/>
      <c r="H177" s="1405"/>
      <c r="I177" s="1405"/>
      <c r="J177" s="1405"/>
      <c r="K177" s="1405"/>
      <c r="L177" s="1405"/>
      <c r="M177" s="1405"/>
      <c r="N177" s="1405"/>
      <c r="O177" s="1405"/>
      <c r="P177" s="1405"/>
      <c r="Q177" s="1405"/>
      <c r="R177" s="1405"/>
      <c r="S177" s="1731"/>
    </row>
    <row r="178" spans="1:19" s="1537" customFormat="1" x14ac:dyDescent="0.2">
      <c r="A178" s="1402"/>
      <c r="B178" s="1405"/>
      <c r="C178" s="1407"/>
      <c r="D178" s="1405"/>
      <c r="E178" s="1405"/>
      <c r="F178" s="1405"/>
      <c r="G178" s="1405"/>
      <c r="H178" s="1405"/>
      <c r="I178" s="1405"/>
      <c r="J178" s="1405"/>
      <c r="K178" s="1405"/>
      <c r="L178" s="1405"/>
      <c r="M178" s="1405"/>
      <c r="N178" s="1405"/>
      <c r="O178" s="1405"/>
      <c r="P178" s="1405"/>
      <c r="Q178" s="1405"/>
      <c r="R178" s="1405"/>
      <c r="S178" s="1731"/>
    </row>
    <row r="179" spans="1:19" s="1537" customFormat="1" x14ac:dyDescent="0.2">
      <c r="A179" s="1402"/>
      <c r="B179" s="1405"/>
      <c r="C179" s="1407"/>
      <c r="D179" s="1405"/>
      <c r="E179" s="1405"/>
      <c r="F179" s="1405"/>
      <c r="G179" s="1405"/>
      <c r="H179" s="1405"/>
      <c r="I179" s="1405"/>
      <c r="J179" s="1405"/>
      <c r="K179" s="1405"/>
      <c r="L179" s="1405"/>
      <c r="M179" s="1405"/>
      <c r="N179" s="1405"/>
      <c r="O179" s="1405"/>
      <c r="P179" s="1405"/>
      <c r="Q179" s="1405"/>
      <c r="R179" s="1405"/>
      <c r="S179" s="1731"/>
    </row>
    <row r="180" spans="1:19" s="1537" customFormat="1" x14ac:dyDescent="0.2">
      <c r="A180" s="1402"/>
      <c r="B180" s="1405"/>
      <c r="C180" s="1407"/>
      <c r="D180" s="1405"/>
      <c r="E180" s="1405"/>
      <c r="F180" s="1405"/>
      <c r="G180" s="1405"/>
      <c r="H180" s="1405"/>
      <c r="I180" s="1405"/>
      <c r="J180" s="1405"/>
      <c r="K180" s="1405"/>
      <c r="L180" s="1405"/>
      <c r="M180" s="1405"/>
      <c r="N180" s="1405"/>
      <c r="O180" s="1405"/>
      <c r="P180" s="1405"/>
      <c r="Q180" s="1405"/>
      <c r="R180" s="1405"/>
      <c r="S180" s="1731"/>
    </row>
    <row r="181" spans="1:19" s="1537" customFormat="1" x14ac:dyDescent="0.2">
      <c r="A181" s="1402"/>
      <c r="B181" s="1405"/>
      <c r="C181" s="1407"/>
      <c r="D181" s="1405"/>
      <c r="E181" s="1405"/>
      <c r="F181" s="1405"/>
      <c r="G181" s="1405"/>
      <c r="H181" s="1405"/>
      <c r="I181" s="1405"/>
      <c r="J181" s="1405"/>
      <c r="K181" s="1405"/>
      <c r="L181" s="1405"/>
      <c r="M181" s="1405"/>
      <c r="N181" s="1405"/>
      <c r="O181" s="1405"/>
      <c r="P181" s="1405"/>
      <c r="Q181" s="1405"/>
      <c r="R181" s="1405"/>
      <c r="S181" s="1731"/>
    </row>
    <row r="182" spans="1:19" s="1537" customFormat="1" x14ac:dyDescent="0.2">
      <c r="A182" s="1402"/>
      <c r="B182" s="1405"/>
      <c r="C182" s="1407"/>
      <c r="D182" s="1405"/>
      <c r="E182" s="1405"/>
      <c r="F182" s="1405"/>
      <c r="G182" s="1405"/>
      <c r="H182" s="1405"/>
      <c r="I182" s="1405"/>
      <c r="J182" s="1405"/>
      <c r="K182" s="1405"/>
      <c r="L182" s="1405"/>
      <c r="M182" s="1405"/>
      <c r="N182" s="1405"/>
      <c r="O182" s="1405"/>
      <c r="P182" s="1405"/>
      <c r="Q182" s="1405"/>
      <c r="R182" s="1405"/>
      <c r="S182" s="1731"/>
    </row>
    <row r="183" spans="1:19" s="1537" customFormat="1" ht="32.25" customHeight="1" x14ac:dyDescent="0.2">
      <c r="A183" s="1402"/>
      <c r="B183" s="1405"/>
      <c r="C183" s="1407"/>
      <c r="D183" s="1405"/>
      <c r="E183" s="1405"/>
      <c r="F183" s="1405"/>
      <c r="G183" s="1405"/>
      <c r="H183" s="1405"/>
      <c r="I183" s="1405"/>
      <c r="J183" s="1405"/>
      <c r="K183" s="1405"/>
      <c r="L183" s="1405"/>
      <c r="M183" s="1405"/>
      <c r="N183" s="1405"/>
      <c r="O183" s="1405"/>
      <c r="P183" s="1405"/>
      <c r="Q183" s="1405"/>
      <c r="R183" s="1405"/>
      <c r="S183" s="1731"/>
    </row>
    <row r="184" spans="1:19" s="1537" customFormat="1" ht="15" customHeight="1" x14ac:dyDescent="0.2">
      <c r="A184" s="1402"/>
      <c r="B184" s="1405"/>
      <c r="C184" s="1407"/>
      <c r="D184" s="1405"/>
      <c r="E184" s="1405"/>
      <c r="F184" s="1405"/>
      <c r="G184" s="1405"/>
      <c r="H184" s="1405"/>
      <c r="I184" s="1405"/>
      <c r="J184" s="1405"/>
      <c r="K184" s="1405"/>
      <c r="L184" s="1405"/>
      <c r="M184" s="1405"/>
      <c r="N184" s="1405"/>
      <c r="O184" s="1405"/>
      <c r="P184" s="1405"/>
      <c r="Q184" s="1405"/>
      <c r="R184" s="1405"/>
      <c r="S184" s="1731"/>
    </row>
    <row r="185" spans="1:19" s="1537" customFormat="1" ht="12.75" customHeight="1" x14ac:dyDescent="0.2">
      <c r="A185" s="1402"/>
      <c r="B185" s="1405"/>
      <c r="C185" s="1407"/>
      <c r="D185" s="1405"/>
      <c r="E185" s="1405"/>
      <c r="F185" s="1405"/>
      <c r="G185" s="1405"/>
      <c r="H185" s="1405"/>
      <c r="I185" s="1405"/>
      <c r="J185" s="1405"/>
      <c r="K185" s="1405"/>
      <c r="L185" s="1405"/>
      <c r="M185" s="1405"/>
      <c r="N185" s="1405"/>
      <c r="O185" s="1405"/>
      <c r="P185" s="1405"/>
      <c r="Q185" s="1405"/>
      <c r="R185" s="1405"/>
      <c r="S185" s="1731"/>
    </row>
    <row r="186" spans="1:19" s="1537" customFormat="1" x14ac:dyDescent="0.2">
      <c r="A186" s="1402"/>
      <c r="B186" s="1405"/>
      <c r="C186" s="1407"/>
      <c r="D186" s="1405"/>
      <c r="E186" s="1405"/>
      <c r="F186" s="1405"/>
      <c r="G186" s="1405"/>
      <c r="H186" s="1405"/>
      <c r="I186" s="1405"/>
      <c r="J186" s="1405"/>
      <c r="K186" s="1405"/>
      <c r="L186" s="1405"/>
      <c r="M186" s="1405"/>
      <c r="N186" s="1405"/>
      <c r="O186" s="1405"/>
      <c r="P186" s="1405"/>
      <c r="Q186" s="1405"/>
      <c r="R186" s="1405"/>
      <c r="S186" s="1731"/>
    </row>
    <row r="187" spans="1:19" s="1537" customFormat="1" x14ac:dyDescent="0.2">
      <c r="A187" s="1402"/>
      <c r="B187" s="1405"/>
      <c r="C187" s="1407"/>
      <c r="D187" s="1405"/>
      <c r="E187" s="1405"/>
      <c r="F187" s="1405"/>
      <c r="G187" s="1405"/>
      <c r="H187" s="1405"/>
      <c r="I187" s="1405"/>
      <c r="J187" s="1405"/>
      <c r="K187" s="1405"/>
      <c r="L187" s="1405"/>
      <c r="M187" s="1405"/>
      <c r="N187" s="1405"/>
      <c r="O187" s="1405"/>
      <c r="P187" s="1405"/>
      <c r="Q187" s="1405"/>
      <c r="R187" s="1405"/>
      <c r="S187" s="1731"/>
    </row>
    <row r="188" spans="1:19" s="1537" customFormat="1" x14ac:dyDescent="0.2">
      <c r="A188" s="1402"/>
      <c r="B188" s="1405"/>
      <c r="C188" s="1407"/>
      <c r="D188" s="1405"/>
      <c r="E188" s="1405"/>
      <c r="F188" s="1405"/>
      <c r="G188" s="1405"/>
      <c r="H188" s="1405"/>
      <c r="I188" s="1405"/>
      <c r="J188" s="1405"/>
      <c r="K188" s="1405"/>
      <c r="L188" s="1405"/>
      <c r="M188" s="1405"/>
      <c r="N188" s="1405"/>
      <c r="O188" s="1405"/>
      <c r="P188" s="1405"/>
      <c r="Q188" s="1405"/>
      <c r="R188" s="1405"/>
      <c r="S188" s="1731"/>
    </row>
    <row r="189" spans="1:19" s="1537" customFormat="1" ht="11.25" customHeight="1" x14ac:dyDescent="0.2">
      <c r="A189" s="1402"/>
      <c r="B189" s="1405"/>
      <c r="C189" s="1407"/>
      <c r="D189" s="1405"/>
      <c r="E189" s="1405"/>
      <c r="F189" s="1405"/>
      <c r="G189" s="1405"/>
      <c r="H189" s="1405"/>
      <c r="I189" s="1405"/>
      <c r="J189" s="1405"/>
      <c r="K189" s="1405"/>
      <c r="L189" s="1405"/>
      <c r="M189" s="1405"/>
      <c r="N189" s="1405"/>
      <c r="O189" s="1405"/>
      <c r="P189" s="1405"/>
      <c r="Q189" s="1405"/>
      <c r="R189" s="1405"/>
      <c r="S189" s="1731"/>
    </row>
    <row r="190" spans="1:19" s="1537" customFormat="1" ht="12.75" customHeight="1" x14ac:dyDescent="0.2">
      <c r="A190" s="1402"/>
      <c r="B190" s="1405"/>
      <c r="C190" s="1407"/>
      <c r="D190" s="1405"/>
      <c r="E190" s="1405"/>
      <c r="F190" s="1405"/>
      <c r="G190" s="1405"/>
      <c r="H190" s="1405"/>
      <c r="I190" s="1405"/>
      <c r="J190" s="1405"/>
      <c r="K190" s="1405"/>
      <c r="L190" s="1405"/>
      <c r="M190" s="1405"/>
      <c r="N190" s="1405"/>
      <c r="O190" s="1405"/>
      <c r="P190" s="1405"/>
      <c r="Q190" s="1405"/>
      <c r="R190" s="1405"/>
      <c r="S190" s="1731"/>
    </row>
    <row r="191" spans="1:19" s="1537" customFormat="1" ht="12.75" customHeight="1" x14ac:dyDescent="0.2">
      <c r="A191" s="1402"/>
      <c r="B191" s="1405"/>
      <c r="C191" s="1407"/>
      <c r="D191" s="1405"/>
      <c r="E191" s="1405"/>
      <c r="F191" s="1405"/>
      <c r="G191" s="1405"/>
      <c r="H191" s="1405"/>
      <c r="I191" s="1405"/>
      <c r="J191" s="1405"/>
      <c r="K191" s="1405"/>
      <c r="L191" s="1405"/>
      <c r="M191" s="1405"/>
      <c r="N191" s="1405"/>
      <c r="O191" s="1405"/>
      <c r="P191" s="1405"/>
      <c r="Q191" s="1405"/>
      <c r="R191" s="1405"/>
      <c r="S191" s="1731"/>
    </row>
    <row r="192" spans="1:19" s="1537" customFormat="1" x14ac:dyDescent="0.2">
      <c r="A192" s="1402"/>
      <c r="B192" s="1405"/>
      <c r="C192" s="1407"/>
      <c r="D192" s="1405"/>
      <c r="E192" s="1405"/>
      <c r="F192" s="1405"/>
      <c r="G192" s="1405"/>
      <c r="H192" s="1405"/>
      <c r="I192" s="1405"/>
      <c r="J192" s="1405"/>
      <c r="K192" s="1405"/>
      <c r="L192" s="1405"/>
      <c r="M192" s="1405"/>
      <c r="N192" s="1405"/>
      <c r="O192" s="1405"/>
      <c r="P192" s="1405"/>
      <c r="Q192" s="1405"/>
      <c r="R192" s="1405"/>
      <c r="S192" s="1731"/>
    </row>
    <row r="193" spans="1:19" s="1537" customFormat="1" x14ac:dyDescent="0.2">
      <c r="A193" s="1402"/>
      <c r="B193" s="1405"/>
      <c r="C193" s="1407"/>
      <c r="D193" s="1405"/>
      <c r="E193" s="1405"/>
      <c r="F193" s="1405"/>
      <c r="G193" s="1405"/>
      <c r="H193" s="1405"/>
      <c r="I193" s="1405"/>
      <c r="J193" s="1405"/>
      <c r="K193" s="1405"/>
      <c r="L193" s="1405"/>
      <c r="M193" s="1405"/>
      <c r="N193" s="1405"/>
      <c r="O193" s="1405"/>
      <c r="P193" s="1405"/>
      <c r="Q193" s="1405"/>
      <c r="R193" s="1405"/>
      <c r="S193" s="1731"/>
    </row>
    <row r="194" spans="1:19" s="1537" customFormat="1" x14ac:dyDescent="0.2">
      <c r="A194" s="1402"/>
      <c r="B194" s="1405"/>
      <c r="C194" s="1407"/>
      <c r="D194" s="1405"/>
      <c r="E194" s="1405"/>
      <c r="F194" s="1405"/>
      <c r="G194" s="1405"/>
      <c r="H194" s="1405"/>
      <c r="I194" s="1405"/>
      <c r="J194" s="1405"/>
      <c r="K194" s="1405"/>
      <c r="L194" s="1405"/>
      <c r="M194" s="1405"/>
      <c r="N194" s="1405"/>
      <c r="O194" s="1405"/>
      <c r="P194" s="1405"/>
      <c r="Q194" s="1405"/>
      <c r="R194" s="1405"/>
      <c r="S194" s="1731"/>
    </row>
    <row r="195" spans="1:19" s="1537" customFormat="1" x14ac:dyDescent="0.2">
      <c r="A195" s="1402"/>
      <c r="B195" s="1405"/>
      <c r="C195" s="1407"/>
      <c r="D195" s="1405"/>
      <c r="E195" s="1405"/>
      <c r="F195" s="1405"/>
      <c r="G195" s="1405"/>
      <c r="H195" s="1405"/>
      <c r="I195" s="1405"/>
      <c r="J195" s="1405"/>
      <c r="K195" s="1405"/>
      <c r="L195" s="1405"/>
      <c r="M195" s="1405"/>
      <c r="N195" s="1405"/>
      <c r="O195" s="1405"/>
      <c r="P195" s="1405"/>
      <c r="Q195" s="1405"/>
      <c r="R195" s="1405"/>
      <c r="S195" s="1731"/>
    </row>
    <row r="196" spans="1:19" s="1730" customFormat="1" ht="24.75" customHeight="1" x14ac:dyDescent="0.2">
      <c r="A196" s="1402"/>
      <c r="B196" s="1405"/>
      <c r="C196" s="1407"/>
      <c r="D196" s="1405"/>
      <c r="E196" s="1405"/>
      <c r="F196" s="1405"/>
      <c r="G196" s="1405"/>
      <c r="H196" s="1405"/>
      <c r="I196" s="1405"/>
      <c r="J196" s="1405"/>
      <c r="K196" s="1405"/>
      <c r="L196" s="1405"/>
      <c r="M196" s="1405"/>
      <c r="N196" s="1405"/>
      <c r="O196" s="1405"/>
      <c r="P196" s="1405"/>
      <c r="Q196" s="1405"/>
      <c r="R196" s="1405"/>
      <c r="S196" s="1731"/>
    </row>
    <row r="197" spans="1:19" s="1537" customFormat="1" ht="12.75" customHeight="1" x14ac:dyDescent="0.2">
      <c r="A197" s="1402"/>
      <c r="B197" s="1405"/>
      <c r="C197" s="1407"/>
      <c r="D197" s="1405"/>
      <c r="E197" s="1405"/>
      <c r="F197" s="1405"/>
      <c r="G197" s="1405"/>
      <c r="H197" s="1405"/>
      <c r="I197" s="1405"/>
      <c r="J197" s="1405"/>
      <c r="K197" s="1405"/>
      <c r="L197" s="1405"/>
      <c r="M197" s="1405"/>
      <c r="N197" s="1405"/>
      <c r="O197" s="1405"/>
      <c r="P197" s="1405"/>
      <c r="Q197" s="1405"/>
      <c r="R197" s="1405"/>
      <c r="S197" s="1731"/>
    </row>
    <row r="198" spans="1:19" s="1537" customFormat="1" ht="12.75" customHeight="1" x14ac:dyDescent="0.2">
      <c r="A198" s="1402"/>
      <c r="B198" s="1405"/>
      <c r="C198" s="1407"/>
      <c r="D198" s="1405"/>
      <c r="E198" s="1405"/>
      <c r="F198" s="1405"/>
      <c r="G198" s="1405"/>
      <c r="H198" s="1405"/>
      <c r="I198" s="1405"/>
      <c r="J198" s="1405"/>
      <c r="K198" s="1405"/>
      <c r="L198" s="1405"/>
      <c r="M198" s="1405"/>
      <c r="N198" s="1405"/>
      <c r="O198" s="1405"/>
      <c r="P198" s="1405"/>
      <c r="Q198" s="1405"/>
      <c r="R198" s="1405"/>
      <c r="S198" s="1731"/>
    </row>
    <row r="199" spans="1:19" s="1537" customFormat="1" x14ac:dyDescent="0.2">
      <c r="A199" s="1402"/>
      <c r="B199" s="1405"/>
      <c r="C199" s="1407"/>
      <c r="D199" s="1405"/>
      <c r="E199" s="1405"/>
      <c r="F199" s="1405"/>
      <c r="G199" s="1405"/>
      <c r="H199" s="1405"/>
      <c r="I199" s="1405"/>
      <c r="J199" s="1405"/>
      <c r="K199" s="1405"/>
      <c r="L199" s="1405"/>
      <c r="M199" s="1405"/>
      <c r="N199" s="1405"/>
      <c r="O199" s="1405"/>
      <c r="P199" s="1405"/>
      <c r="Q199" s="1405"/>
      <c r="R199" s="1405"/>
      <c r="S199" s="1731"/>
    </row>
    <row r="200" spans="1:19" s="1537" customFormat="1" x14ac:dyDescent="0.2">
      <c r="A200" s="1402"/>
      <c r="B200" s="1405"/>
      <c r="C200" s="1407"/>
      <c r="D200" s="1405"/>
      <c r="E200" s="1405"/>
      <c r="F200" s="1405"/>
      <c r="G200" s="1405"/>
      <c r="H200" s="1405"/>
      <c r="I200" s="1405"/>
      <c r="J200" s="1405"/>
      <c r="K200" s="1405"/>
      <c r="L200" s="1405"/>
      <c r="M200" s="1405"/>
      <c r="N200" s="1405"/>
      <c r="O200" s="1405"/>
      <c r="P200" s="1405"/>
      <c r="Q200" s="1405"/>
      <c r="R200" s="1405"/>
      <c r="S200" s="1731"/>
    </row>
    <row r="201" spans="1:19" s="1537" customFormat="1" x14ac:dyDescent="0.2">
      <c r="A201" s="1402"/>
      <c r="B201" s="1405"/>
      <c r="C201" s="1407"/>
      <c r="D201" s="1405"/>
      <c r="E201" s="1405"/>
      <c r="F201" s="1405"/>
      <c r="G201" s="1405"/>
      <c r="H201" s="1405"/>
      <c r="I201" s="1405"/>
      <c r="J201" s="1405"/>
      <c r="K201" s="1405"/>
      <c r="L201" s="1405"/>
      <c r="M201" s="1405"/>
      <c r="N201" s="1405"/>
      <c r="O201" s="1405"/>
      <c r="P201" s="1405"/>
      <c r="Q201" s="1405"/>
      <c r="R201" s="1405"/>
      <c r="S201" s="1731"/>
    </row>
    <row r="202" spans="1:19" s="1730" customFormat="1" ht="23.25" customHeight="1" x14ac:dyDescent="0.2">
      <c r="A202" s="1402"/>
      <c r="B202" s="1405"/>
      <c r="C202" s="1407"/>
      <c r="D202" s="1405"/>
      <c r="E202" s="1405"/>
      <c r="F202" s="1405"/>
      <c r="G202" s="1405"/>
      <c r="H202" s="1405"/>
      <c r="I202" s="1405"/>
      <c r="J202" s="1405"/>
      <c r="K202" s="1405"/>
      <c r="L202" s="1405"/>
      <c r="M202" s="1405"/>
      <c r="N202" s="1405"/>
      <c r="O202" s="1405"/>
      <c r="P202" s="1405"/>
      <c r="Q202" s="1405"/>
      <c r="R202" s="1405"/>
      <c r="S202" s="1731"/>
    </row>
    <row r="203" spans="1:19" s="1537" customFormat="1" ht="15" customHeight="1" x14ac:dyDescent="0.2">
      <c r="A203" s="1402"/>
      <c r="B203" s="1405"/>
      <c r="C203" s="1407"/>
      <c r="D203" s="1405"/>
      <c r="E203" s="1405"/>
      <c r="F203" s="1405"/>
      <c r="G203" s="1405"/>
      <c r="H203" s="1405"/>
      <c r="I203" s="1405"/>
      <c r="J203" s="1405"/>
      <c r="K203" s="1405"/>
      <c r="L203" s="1405"/>
      <c r="M203" s="1405"/>
      <c r="N203" s="1405"/>
      <c r="O203" s="1405"/>
      <c r="P203" s="1405"/>
      <c r="Q203" s="1405"/>
      <c r="R203" s="1405"/>
      <c r="S203" s="1731"/>
    </row>
    <row r="204" spans="1:19" s="1537" customFormat="1" ht="12.75" customHeight="1" x14ac:dyDescent="0.2">
      <c r="A204" s="1402"/>
      <c r="B204" s="1405"/>
      <c r="C204" s="1407"/>
      <c r="D204" s="1405"/>
      <c r="E204" s="1405"/>
      <c r="F204" s="1405"/>
      <c r="G204" s="1405"/>
      <c r="H204" s="1405"/>
      <c r="I204" s="1405"/>
      <c r="J204" s="1405"/>
      <c r="K204" s="1405"/>
      <c r="L204" s="1405"/>
      <c r="M204" s="1405"/>
      <c r="N204" s="1405"/>
      <c r="O204" s="1405"/>
      <c r="P204" s="1405"/>
      <c r="Q204" s="1405"/>
      <c r="R204" s="1405"/>
      <c r="S204" s="1731"/>
    </row>
    <row r="205" spans="1:19" s="1537" customFormat="1" x14ac:dyDescent="0.2">
      <c r="A205" s="1402"/>
      <c r="B205" s="1405"/>
      <c r="C205" s="1407"/>
      <c r="D205" s="1405"/>
      <c r="E205" s="1405"/>
      <c r="F205" s="1405"/>
      <c r="G205" s="1405"/>
      <c r="H205" s="1405"/>
      <c r="I205" s="1405"/>
      <c r="J205" s="1405"/>
      <c r="K205" s="1405"/>
      <c r="L205" s="1405"/>
      <c r="M205" s="1405"/>
      <c r="N205" s="1405"/>
      <c r="O205" s="1405"/>
      <c r="P205" s="1405"/>
      <c r="Q205" s="1405"/>
      <c r="R205" s="1405"/>
      <c r="S205" s="1731"/>
    </row>
    <row r="206" spans="1:19" s="1537" customFormat="1" x14ac:dyDescent="0.2">
      <c r="A206" s="1402"/>
      <c r="B206" s="1405"/>
      <c r="C206" s="1407"/>
      <c r="D206" s="1405"/>
      <c r="E206" s="1405"/>
      <c r="F206" s="1405"/>
      <c r="G206" s="1405"/>
      <c r="H206" s="1405"/>
      <c r="I206" s="1405"/>
      <c r="J206" s="1405"/>
      <c r="K206" s="1405"/>
      <c r="L206" s="1405"/>
      <c r="M206" s="1405"/>
      <c r="N206" s="1405"/>
      <c r="O206" s="1405"/>
      <c r="P206" s="1405"/>
      <c r="Q206" s="1405"/>
      <c r="R206" s="1405"/>
      <c r="S206" s="1731"/>
    </row>
    <row r="207" spans="1:19" s="1730" customFormat="1" ht="12.75" customHeight="1" x14ac:dyDescent="0.2">
      <c r="A207" s="1402"/>
      <c r="B207" s="1405"/>
      <c r="C207" s="1407"/>
      <c r="D207" s="1405"/>
      <c r="E207" s="1405"/>
      <c r="F207" s="1405"/>
      <c r="G207" s="1405"/>
      <c r="H207" s="1405"/>
      <c r="I207" s="1405"/>
      <c r="J207" s="1405"/>
      <c r="K207" s="1405"/>
      <c r="L207" s="1405"/>
      <c r="M207" s="1405"/>
      <c r="N207" s="1405"/>
      <c r="O207" s="1405"/>
      <c r="P207" s="1405"/>
      <c r="Q207" s="1405"/>
      <c r="R207" s="1405"/>
      <c r="S207" s="1731"/>
    </row>
    <row r="208" spans="1:19" s="1537" customFormat="1" ht="9.75" customHeight="1" x14ac:dyDescent="0.2">
      <c r="A208" s="1402"/>
      <c r="B208" s="1405"/>
      <c r="C208" s="1407"/>
      <c r="D208" s="1405"/>
      <c r="E208" s="1405"/>
      <c r="F208" s="1405"/>
      <c r="G208" s="1405"/>
      <c r="H208" s="1405"/>
      <c r="I208" s="1405"/>
      <c r="J208" s="1405"/>
      <c r="K208" s="1405"/>
      <c r="L208" s="1405"/>
      <c r="M208" s="1405"/>
      <c r="N208" s="1405"/>
      <c r="O208" s="1405"/>
      <c r="P208" s="1405"/>
      <c r="Q208" s="1405"/>
      <c r="R208" s="1405"/>
      <c r="S208" s="1731"/>
    </row>
    <row r="209" spans="1:19" s="1537" customFormat="1" ht="12.75" customHeight="1" x14ac:dyDescent="0.2">
      <c r="A209" s="1402"/>
      <c r="B209" s="1405"/>
      <c r="C209" s="1407"/>
      <c r="D209" s="1405"/>
      <c r="E209" s="1405"/>
      <c r="F209" s="1405"/>
      <c r="G209" s="1405"/>
      <c r="H209" s="1405"/>
      <c r="I209" s="1405"/>
      <c r="J209" s="1405"/>
      <c r="K209" s="1405"/>
      <c r="L209" s="1405"/>
      <c r="M209" s="1405"/>
      <c r="N209" s="1405"/>
      <c r="O209" s="1405"/>
      <c r="P209" s="1405"/>
      <c r="Q209" s="1405"/>
      <c r="R209" s="1405"/>
      <c r="S209" s="1731"/>
    </row>
    <row r="210" spans="1:19" s="1537" customFormat="1" x14ac:dyDescent="0.2">
      <c r="A210" s="1402"/>
      <c r="B210" s="1405"/>
      <c r="C210" s="1407"/>
      <c r="D210" s="1405"/>
      <c r="E210" s="1405"/>
      <c r="F210" s="1405"/>
      <c r="G210" s="1405"/>
      <c r="H210" s="1405"/>
      <c r="I210" s="1405"/>
      <c r="J210" s="1405"/>
      <c r="K210" s="1405"/>
      <c r="L210" s="1405"/>
      <c r="M210" s="1405"/>
      <c r="N210" s="1405"/>
      <c r="O210" s="1405"/>
      <c r="P210" s="1405"/>
      <c r="Q210" s="1405"/>
      <c r="R210" s="1405"/>
      <c r="S210" s="1731"/>
    </row>
    <row r="211" spans="1:19" s="1537" customFormat="1" x14ac:dyDescent="0.2">
      <c r="A211" s="1402"/>
      <c r="B211" s="1405"/>
      <c r="C211" s="1407"/>
      <c r="D211" s="1405"/>
      <c r="E211" s="1405"/>
      <c r="F211" s="1405"/>
      <c r="G211" s="1405"/>
      <c r="H211" s="1405"/>
      <c r="I211" s="1405"/>
      <c r="J211" s="1405"/>
      <c r="K211" s="1405"/>
      <c r="L211" s="1405"/>
      <c r="M211" s="1405"/>
      <c r="N211" s="1405"/>
      <c r="O211" s="1405"/>
      <c r="P211" s="1405"/>
      <c r="Q211" s="1405"/>
      <c r="R211" s="1405"/>
      <c r="S211" s="1731"/>
    </row>
    <row r="212" spans="1:19" s="1729" customFormat="1" ht="24" customHeight="1" x14ac:dyDescent="0.2">
      <c r="A212" s="1402"/>
      <c r="B212" s="1405"/>
      <c r="C212" s="1407"/>
      <c r="D212" s="1405"/>
      <c r="E212" s="1405"/>
      <c r="F212" s="1405"/>
      <c r="G212" s="1405"/>
      <c r="H212" s="1405"/>
      <c r="I212" s="1405"/>
      <c r="J212" s="1405"/>
      <c r="K212" s="1405"/>
      <c r="L212" s="1405"/>
      <c r="M212" s="1405"/>
      <c r="N212" s="1405"/>
      <c r="O212" s="1405"/>
      <c r="P212" s="1405"/>
      <c r="Q212" s="1405"/>
      <c r="R212" s="1405"/>
      <c r="S212" s="1731"/>
    </row>
    <row r="213" spans="1:19" s="1537" customFormat="1" ht="11.25" customHeight="1" x14ac:dyDescent="0.2">
      <c r="A213" s="1402"/>
      <c r="B213" s="1405"/>
      <c r="C213" s="1407"/>
      <c r="D213" s="1405"/>
      <c r="E213" s="1405"/>
      <c r="F213" s="1405"/>
      <c r="G213" s="1405"/>
      <c r="H213" s="1405"/>
      <c r="I213" s="1405"/>
      <c r="J213" s="1405"/>
      <c r="K213" s="1405"/>
      <c r="L213" s="1405"/>
      <c r="M213" s="1405"/>
      <c r="N213" s="1405"/>
      <c r="O213" s="1405"/>
      <c r="P213" s="1405"/>
      <c r="Q213" s="1405"/>
      <c r="R213" s="1405"/>
      <c r="S213" s="1731"/>
    </row>
    <row r="214" spans="1:19" s="1537" customFormat="1" ht="12.75" customHeight="1" x14ac:dyDescent="0.2">
      <c r="A214" s="1402"/>
      <c r="B214" s="1405"/>
      <c r="C214" s="1407"/>
      <c r="D214" s="1405"/>
      <c r="E214" s="1405"/>
      <c r="F214" s="1405"/>
      <c r="G214" s="1405"/>
      <c r="H214" s="1405"/>
      <c r="I214" s="1405"/>
      <c r="J214" s="1405"/>
      <c r="K214" s="1405"/>
      <c r="L214" s="1405"/>
      <c r="M214" s="1405"/>
      <c r="N214" s="1405"/>
      <c r="O214" s="1405"/>
      <c r="P214" s="1405"/>
      <c r="Q214" s="1405"/>
      <c r="R214" s="1405"/>
      <c r="S214" s="1731"/>
    </row>
    <row r="215" spans="1:19" s="1537" customFormat="1" x14ac:dyDescent="0.2">
      <c r="A215" s="1402"/>
      <c r="B215" s="1405"/>
      <c r="C215" s="1407"/>
      <c r="D215" s="1405"/>
      <c r="E215" s="1405"/>
      <c r="F215" s="1405"/>
      <c r="G215" s="1405"/>
      <c r="H215" s="1405"/>
      <c r="I215" s="1405"/>
      <c r="J215" s="1405"/>
      <c r="K215" s="1405"/>
      <c r="L215" s="1405"/>
      <c r="M215" s="1405"/>
      <c r="N215" s="1405"/>
      <c r="O215" s="1405"/>
      <c r="P215" s="1405"/>
      <c r="Q215" s="1405"/>
      <c r="R215" s="1405"/>
      <c r="S215" s="1731"/>
    </row>
    <row r="216" spans="1:19" s="1537" customFormat="1" x14ac:dyDescent="0.2">
      <c r="A216" s="1402"/>
      <c r="B216" s="1405"/>
      <c r="C216" s="1407"/>
      <c r="D216" s="1405"/>
      <c r="E216" s="1405"/>
      <c r="F216" s="1405"/>
      <c r="G216" s="1405"/>
      <c r="H216" s="1405"/>
      <c r="I216" s="1405"/>
      <c r="J216" s="1405"/>
      <c r="K216" s="1405"/>
      <c r="L216" s="1405"/>
      <c r="M216" s="1405"/>
      <c r="N216" s="1405"/>
      <c r="O216" s="1405"/>
      <c r="P216" s="1405"/>
      <c r="Q216" s="1405"/>
      <c r="R216" s="1405"/>
      <c r="S216" s="1731"/>
    </row>
    <row r="217" spans="1:19" s="1537" customFormat="1" x14ac:dyDescent="0.2">
      <c r="A217" s="1402"/>
      <c r="B217" s="1405"/>
      <c r="C217" s="1407"/>
      <c r="D217" s="1405"/>
      <c r="E217" s="1405"/>
      <c r="F217" s="1405"/>
      <c r="G217" s="1405"/>
      <c r="H217" s="1405"/>
      <c r="I217" s="1405"/>
      <c r="J217" s="1405"/>
      <c r="K217" s="1405"/>
      <c r="L217" s="1405"/>
      <c r="M217" s="1405"/>
      <c r="N217" s="1405"/>
      <c r="O217" s="1405"/>
      <c r="P217" s="1405"/>
      <c r="Q217" s="1405"/>
      <c r="R217" s="1405"/>
      <c r="S217" s="1731"/>
    </row>
    <row r="218" spans="1:19" s="1537" customFormat="1" x14ac:dyDescent="0.2">
      <c r="A218" s="1402"/>
      <c r="B218" s="1405"/>
      <c r="C218" s="1407"/>
      <c r="D218" s="1405"/>
      <c r="E218" s="1405"/>
      <c r="F218" s="1405"/>
      <c r="G218" s="1405"/>
      <c r="H218" s="1405"/>
      <c r="I218" s="1405"/>
      <c r="J218" s="1405"/>
      <c r="K218" s="1405"/>
      <c r="L218" s="1405"/>
      <c r="M218" s="1405"/>
      <c r="N218" s="1405"/>
      <c r="O218" s="1405"/>
      <c r="P218" s="1405"/>
      <c r="Q218" s="1405"/>
      <c r="R218" s="1405"/>
      <c r="S218" s="1731"/>
    </row>
    <row r="219" spans="1:19" s="1537" customFormat="1" ht="12" customHeight="1" x14ac:dyDescent="0.2">
      <c r="A219" s="1402"/>
      <c r="B219" s="1405"/>
      <c r="C219" s="1407"/>
      <c r="D219" s="1405"/>
      <c r="E219" s="1405"/>
      <c r="F219" s="1405"/>
      <c r="G219" s="1405"/>
      <c r="H219" s="1405"/>
      <c r="I219" s="1405"/>
      <c r="J219" s="1405"/>
      <c r="K219" s="1405"/>
      <c r="L219" s="1405"/>
      <c r="M219" s="1405"/>
      <c r="N219" s="1405"/>
      <c r="O219" s="1405"/>
      <c r="P219" s="1405"/>
      <c r="Q219" s="1405"/>
      <c r="R219" s="1405"/>
      <c r="S219" s="1731"/>
    </row>
    <row r="220" spans="1:19" s="1537" customFormat="1" ht="10.5" customHeight="1" x14ac:dyDescent="0.2">
      <c r="A220" s="1402"/>
      <c r="B220" s="1405"/>
      <c r="C220" s="1407"/>
      <c r="D220" s="1405"/>
      <c r="E220" s="1405"/>
      <c r="F220" s="1405"/>
      <c r="G220" s="1405"/>
      <c r="H220" s="1405"/>
      <c r="I220" s="1405"/>
      <c r="J220" s="1405"/>
      <c r="K220" s="1405"/>
      <c r="L220" s="1405"/>
      <c r="M220" s="1405"/>
      <c r="N220" s="1405"/>
      <c r="O220" s="1405"/>
      <c r="P220" s="1405"/>
      <c r="Q220" s="1405"/>
      <c r="R220" s="1405"/>
      <c r="S220" s="1731"/>
    </row>
    <row r="221" spans="1:19" s="1537" customFormat="1" x14ac:dyDescent="0.2">
      <c r="A221" s="1402"/>
      <c r="B221" s="1405"/>
      <c r="C221" s="1407"/>
      <c r="D221" s="1405"/>
      <c r="E221" s="1405"/>
      <c r="F221" s="1405"/>
      <c r="G221" s="1405"/>
      <c r="H221" s="1405"/>
      <c r="I221" s="1405"/>
      <c r="J221" s="1405"/>
      <c r="K221" s="1405"/>
      <c r="L221" s="1405"/>
      <c r="M221" s="1405"/>
      <c r="N221" s="1405"/>
      <c r="O221" s="1405"/>
      <c r="P221" s="1405"/>
      <c r="Q221" s="1405"/>
      <c r="R221" s="1405"/>
      <c r="S221" s="1731"/>
    </row>
    <row r="222" spans="1:19" s="1537" customFormat="1" x14ac:dyDescent="0.2">
      <c r="A222" s="1402"/>
      <c r="B222" s="1405"/>
      <c r="C222" s="1407"/>
      <c r="D222" s="1405"/>
      <c r="E222" s="1405"/>
      <c r="F222" s="1405"/>
      <c r="G222" s="1405"/>
      <c r="H222" s="1405"/>
      <c r="I222" s="1405"/>
      <c r="J222" s="1405"/>
      <c r="K222" s="1405"/>
      <c r="L222" s="1405"/>
      <c r="M222" s="1405"/>
      <c r="N222" s="1405"/>
      <c r="O222" s="1405"/>
      <c r="P222" s="1405"/>
      <c r="Q222" s="1405"/>
      <c r="R222" s="1405"/>
      <c r="S222" s="1731"/>
    </row>
    <row r="223" spans="1:19" s="1537" customFormat="1" x14ac:dyDescent="0.2">
      <c r="A223" s="1402"/>
      <c r="B223" s="1405"/>
      <c r="C223" s="1407"/>
      <c r="D223" s="1405"/>
      <c r="E223" s="1405"/>
      <c r="F223" s="1405"/>
      <c r="G223" s="1405"/>
      <c r="H223" s="1405"/>
      <c r="I223" s="1405"/>
      <c r="J223" s="1405"/>
      <c r="K223" s="1405"/>
      <c r="L223" s="1405"/>
      <c r="M223" s="1405"/>
      <c r="N223" s="1405"/>
      <c r="O223" s="1405"/>
      <c r="P223" s="1405"/>
      <c r="Q223" s="1405"/>
      <c r="R223" s="1405"/>
      <c r="S223" s="1731"/>
    </row>
    <row r="224" spans="1:19" s="1537" customFormat="1" x14ac:dyDescent="0.2">
      <c r="A224" s="1402"/>
      <c r="B224" s="1405"/>
      <c r="C224" s="1407"/>
      <c r="D224" s="1405"/>
      <c r="E224" s="1405"/>
      <c r="F224" s="1405"/>
      <c r="G224" s="1405"/>
      <c r="H224" s="1405"/>
      <c r="I224" s="1405"/>
      <c r="J224" s="1405"/>
      <c r="K224" s="1405"/>
      <c r="L224" s="1405"/>
      <c r="M224" s="1405"/>
      <c r="N224" s="1405"/>
      <c r="O224" s="1405"/>
      <c r="P224" s="1405"/>
      <c r="Q224" s="1405"/>
      <c r="R224" s="1405"/>
      <c r="S224" s="1731"/>
    </row>
    <row r="225" spans="1:19" s="1537" customFormat="1" x14ac:dyDescent="0.2">
      <c r="A225" s="1402"/>
      <c r="B225" s="1405"/>
      <c r="C225" s="1407"/>
      <c r="D225" s="1405"/>
      <c r="E225" s="1405"/>
      <c r="F225" s="1405"/>
      <c r="G225" s="1405"/>
      <c r="H225" s="1405"/>
      <c r="I225" s="1405"/>
      <c r="J225" s="1405"/>
      <c r="K225" s="1405"/>
      <c r="L225" s="1405"/>
      <c r="M225" s="1405"/>
      <c r="N225" s="1405"/>
      <c r="O225" s="1405"/>
      <c r="P225" s="1405"/>
      <c r="Q225" s="1405"/>
      <c r="R225" s="1405"/>
      <c r="S225" s="1731"/>
    </row>
    <row r="226" spans="1:19" s="1537" customFormat="1" ht="32.25" customHeight="1" x14ac:dyDescent="0.2">
      <c r="A226" s="1402"/>
      <c r="B226" s="1405"/>
      <c r="C226" s="1407"/>
      <c r="D226" s="1405"/>
      <c r="E226" s="1405"/>
      <c r="F226" s="1405"/>
      <c r="G226" s="1405"/>
      <c r="H226" s="1405"/>
      <c r="I226" s="1405"/>
      <c r="J226" s="1405"/>
      <c r="K226" s="1405"/>
      <c r="L226" s="1405"/>
      <c r="M226" s="1405"/>
      <c r="N226" s="1405"/>
      <c r="O226" s="1405"/>
      <c r="P226" s="1405"/>
      <c r="Q226" s="1405"/>
      <c r="R226" s="1405"/>
      <c r="S226" s="1731"/>
    </row>
    <row r="227" spans="1:19" s="1537" customFormat="1" ht="15" customHeight="1" x14ac:dyDescent="0.2">
      <c r="A227" s="1402"/>
      <c r="B227" s="1405"/>
      <c r="C227" s="1407"/>
      <c r="D227" s="1405"/>
      <c r="E227" s="1405"/>
      <c r="F227" s="1405"/>
      <c r="G227" s="1405"/>
      <c r="H227" s="1405"/>
      <c r="I227" s="1405"/>
      <c r="J227" s="1405"/>
      <c r="K227" s="1405"/>
      <c r="L227" s="1405"/>
      <c r="M227" s="1405"/>
      <c r="N227" s="1405"/>
      <c r="O227" s="1405"/>
      <c r="P227" s="1405"/>
      <c r="Q227" s="1405"/>
      <c r="R227" s="1405"/>
      <c r="S227" s="1731"/>
    </row>
    <row r="228" spans="1:19" s="1537" customFormat="1" ht="12.75" customHeight="1" x14ac:dyDescent="0.2">
      <c r="A228" s="1402"/>
      <c r="B228" s="1405"/>
      <c r="C228" s="1407"/>
      <c r="D228" s="1405"/>
      <c r="E228" s="1405"/>
      <c r="F228" s="1405"/>
      <c r="G228" s="1405"/>
      <c r="H228" s="1405"/>
      <c r="I228" s="1405"/>
      <c r="J228" s="1405"/>
      <c r="K228" s="1405"/>
      <c r="L228" s="1405"/>
      <c r="M228" s="1405"/>
      <c r="N228" s="1405"/>
      <c r="O228" s="1405"/>
      <c r="P228" s="1405"/>
      <c r="Q228" s="1405"/>
      <c r="R228" s="1405"/>
      <c r="S228" s="1731"/>
    </row>
    <row r="229" spans="1:19" s="1537" customFormat="1" x14ac:dyDescent="0.2">
      <c r="A229" s="1402"/>
      <c r="B229" s="1405"/>
      <c r="C229" s="1407"/>
      <c r="D229" s="1405"/>
      <c r="E229" s="1405"/>
      <c r="F229" s="1405"/>
      <c r="G229" s="1405"/>
      <c r="H229" s="1405"/>
      <c r="I229" s="1405"/>
      <c r="J229" s="1405"/>
      <c r="K229" s="1405"/>
      <c r="L229" s="1405"/>
      <c r="M229" s="1405"/>
      <c r="N229" s="1405"/>
      <c r="O229" s="1405"/>
      <c r="P229" s="1405"/>
      <c r="Q229" s="1405"/>
      <c r="R229" s="1405"/>
      <c r="S229" s="1731"/>
    </row>
    <row r="230" spans="1:19" s="1537" customFormat="1" x14ac:dyDescent="0.2">
      <c r="A230" s="1402"/>
      <c r="B230" s="1405"/>
      <c r="C230" s="1407"/>
      <c r="D230" s="1405"/>
      <c r="E230" s="1405"/>
      <c r="F230" s="1405"/>
      <c r="G230" s="1405"/>
      <c r="H230" s="1405"/>
      <c r="I230" s="1405"/>
      <c r="J230" s="1405"/>
      <c r="K230" s="1405"/>
      <c r="L230" s="1405"/>
      <c r="M230" s="1405"/>
      <c r="N230" s="1405"/>
      <c r="O230" s="1405"/>
      <c r="P230" s="1405"/>
      <c r="Q230" s="1405"/>
      <c r="R230" s="1405"/>
      <c r="S230" s="1735"/>
    </row>
    <row r="231" spans="1:19" s="1537" customFormat="1" x14ac:dyDescent="0.2">
      <c r="A231" s="1402"/>
      <c r="B231" s="1405"/>
      <c r="C231" s="1407"/>
      <c r="D231" s="1405"/>
      <c r="E231" s="1405"/>
      <c r="F231" s="1405"/>
      <c r="G231" s="1405"/>
      <c r="H231" s="1405"/>
      <c r="I231" s="1405"/>
      <c r="J231" s="1405"/>
      <c r="K231" s="1405"/>
      <c r="L231" s="1405"/>
      <c r="M231" s="1405"/>
      <c r="N231" s="1405"/>
      <c r="O231" s="1405"/>
      <c r="P231" s="1405"/>
      <c r="Q231" s="1405"/>
      <c r="R231" s="1405"/>
      <c r="S231" s="1735"/>
    </row>
    <row r="232" spans="1:19" s="1537" customFormat="1" ht="21.75" customHeight="1" x14ac:dyDescent="0.2">
      <c r="A232" s="1402"/>
      <c r="B232" s="1405"/>
      <c r="C232" s="1407"/>
      <c r="D232" s="1405"/>
      <c r="E232" s="1405"/>
      <c r="F232" s="1405"/>
      <c r="G232" s="1405"/>
      <c r="H232" s="1405"/>
      <c r="I232" s="1405"/>
      <c r="J232" s="1405"/>
      <c r="K232" s="1405"/>
      <c r="L232" s="1405"/>
      <c r="M232" s="1405"/>
      <c r="N232" s="1405"/>
      <c r="O232" s="1405"/>
      <c r="P232" s="1405"/>
      <c r="Q232" s="1405"/>
      <c r="R232" s="1405"/>
      <c r="S232" s="1735"/>
    </row>
    <row r="233" spans="1:19" s="1537" customFormat="1" ht="12.75" customHeight="1" x14ac:dyDescent="0.2">
      <c r="A233" s="1402"/>
      <c r="B233" s="1405"/>
      <c r="C233" s="1407"/>
      <c r="D233" s="1405"/>
      <c r="E233" s="1405"/>
      <c r="F233" s="1405"/>
      <c r="G233" s="1405"/>
      <c r="H233" s="1405"/>
      <c r="I233" s="1405"/>
      <c r="J233" s="1405"/>
      <c r="K233" s="1405"/>
      <c r="L233" s="1405"/>
      <c r="M233" s="1405"/>
      <c r="N233" s="1405"/>
      <c r="O233" s="1405"/>
      <c r="P233" s="1405"/>
      <c r="Q233" s="1405"/>
      <c r="R233" s="1405"/>
      <c r="S233" s="1735"/>
    </row>
    <row r="234" spans="1:19" s="1537" customFormat="1" ht="12.75" customHeight="1" x14ac:dyDescent="0.2">
      <c r="A234" s="1402"/>
      <c r="B234" s="1405"/>
      <c r="C234" s="1407"/>
      <c r="D234" s="1405"/>
      <c r="E234" s="1405"/>
      <c r="F234" s="1405"/>
      <c r="G234" s="1405"/>
      <c r="H234" s="1405"/>
      <c r="I234" s="1405"/>
      <c r="J234" s="1405"/>
      <c r="K234" s="1405"/>
      <c r="L234" s="1405"/>
      <c r="M234" s="1405"/>
      <c r="N234" s="1405"/>
      <c r="O234" s="1405"/>
      <c r="P234" s="1405"/>
      <c r="Q234" s="1405"/>
      <c r="R234" s="1405"/>
      <c r="S234" s="1735"/>
    </row>
    <row r="235" spans="1:19" s="1537" customFormat="1" x14ac:dyDescent="0.2">
      <c r="A235" s="1402"/>
      <c r="B235" s="1405"/>
      <c r="C235" s="1407"/>
      <c r="D235" s="1405"/>
      <c r="E235" s="1405"/>
      <c r="F235" s="1405"/>
      <c r="G235" s="1405"/>
      <c r="H235" s="1405"/>
      <c r="I235" s="1405"/>
      <c r="J235" s="1405"/>
      <c r="K235" s="1405"/>
      <c r="L235" s="1405"/>
      <c r="M235" s="1405"/>
      <c r="N235" s="1405"/>
      <c r="O235" s="1405"/>
      <c r="P235" s="1405"/>
      <c r="Q235" s="1405"/>
      <c r="R235" s="1405"/>
      <c r="S235" s="1735"/>
    </row>
    <row r="236" spans="1:19" s="1537" customFormat="1" x14ac:dyDescent="0.2">
      <c r="A236" s="1402"/>
      <c r="B236" s="1405"/>
      <c r="C236" s="1407"/>
      <c r="D236" s="1405"/>
      <c r="E236" s="1405"/>
      <c r="F236" s="1405"/>
      <c r="G236" s="1405"/>
      <c r="H236" s="1405"/>
      <c r="I236" s="1405"/>
      <c r="J236" s="1405"/>
      <c r="K236" s="1405"/>
      <c r="L236" s="1405"/>
      <c r="M236" s="1405"/>
      <c r="N236" s="1405"/>
      <c r="O236" s="1405"/>
      <c r="P236" s="1405"/>
      <c r="Q236" s="1405"/>
      <c r="R236" s="1405"/>
      <c r="S236" s="1735"/>
    </row>
    <row r="237" spans="1:19" s="1537" customFormat="1" x14ac:dyDescent="0.2">
      <c r="A237" s="1402"/>
      <c r="B237" s="1405"/>
      <c r="C237" s="1407"/>
      <c r="D237" s="1405"/>
      <c r="E237" s="1405"/>
      <c r="F237" s="1405"/>
      <c r="G237" s="1405"/>
      <c r="H237" s="1405"/>
      <c r="I237" s="1405"/>
      <c r="J237" s="1405"/>
      <c r="K237" s="1405"/>
      <c r="L237" s="1405"/>
      <c r="M237" s="1405"/>
      <c r="N237" s="1405"/>
      <c r="O237" s="1405"/>
      <c r="P237" s="1405"/>
      <c r="Q237" s="1405"/>
      <c r="R237" s="1405"/>
      <c r="S237" s="1735"/>
    </row>
    <row r="238" spans="1:19" s="1537" customFormat="1" x14ac:dyDescent="0.2">
      <c r="A238" s="1402"/>
      <c r="B238" s="1405"/>
      <c r="C238" s="1407"/>
      <c r="D238" s="1405"/>
      <c r="E238" s="1405"/>
      <c r="F238" s="1405"/>
      <c r="G238" s="1405"/>
      <c r="H238" s="1405"/>
      <c r="I238" s="1405"/>
      <c r="J238" s="1405"/>
      <c r="K238" s="1405"/>
      <c r="L238" s="1405"/>
      <c r="M238" s="1405"/>
      <c r="N238" s="1405"/>
      <c r="O238" s="1405"/>
      <c r="P238" s="1405"/>
      <c r="Q238" s="1405"/>
      <c r="R238" s="1405"/>
      <c r="S238" s="1735"/>
    </row>
    <row r="239" spans="1:19" s="1729" customFormat="1" ht="35.25" customHeight="1" x14ac:dyDescent="0.2">
      <c r="A239" s="1402"/>
      <c r="B239" s="1405"/>
      <c r="C239" s="1407"/>
      <c r="D239" s="1405"/>
      <c r="E239" s="1405"/>
      <c r="F239" s="1405"/>
      <c r="G239" s="1405"/>
      <c r="H239" s="1405"/>
      <c r="I239" s="1405"/>
      <c r="J239" s="1405"/>
      <c r="K239" s="1405"/>
      <c r="L239" s="1405"/>
      <c r="M239" s="1405"/>
      <c r="N239" s="1405"/>
      <c r="O239" s="1405"/>
      <c r="P239" s="1405"/>
      <c r="Q239" s="1405"/>
      <c r="R239" s="1405"/>
      <c r="S239" s="1735"/>
    </row>
    <row r="240" spans="1:19" s="1537" customFormat="1" ht="11.25" customHeight="1" x14ac:dyDescent="0.2">
      <c r="A240" s="1402"/>
      <c r="B240" s="1405"/>
      <c r="C240" s="1407"/>
      <c r="D240" s="1405"/>
      <c r="E240" s="1405"/>
      <c r="F240" s="1405"/>
      <c r="G240" s="1405"/>
      <c r="H240" s="1405"/>
      <c r="I240" s="1405"/>
      <c r="J240" s="1405"/>
      <c r="K240" s="1405"/>
      <c r="L240" s="1405"/>
      <c r="M240" s="1405"/>
      <c r="N240" s="1405"/>
      <c r="O240" s="1405"/>
      <c r="P240" s="1405"/>
      <c r="Q240" s="1405"/>
      <c r="R240" s="1405"/>
      <c r="S240" s="1735"/>
    </row>
    <row r="241" spans="1:19" s="1537" customFormat="1" ht="12.75" customHeight="1" x14ac:dyDescent="0.2">
      <c r="A241" s="1402"/>
      <c r="B241" s="1405"/>
      <c r="C241" s="1407"/>
      <c r="D241" s="1405"/>
      <c r="E241" s="1405"/>
      <c r="F241" s="1405"/>
      <c r="G241" s="1405"/>
      <c r="H241" s="1405"/>
      <c r="I241" s="1405"/>
      <c r="J241" s="1405"/>
      <c r="K241" s="1405"/>
      <c r="L241" s="1405"/>
      <c r="M241" s="1405"/>
      <c r="N241" s="1405"/>
      <c r="O241" s="1405"/>
      <c r="P241" s="1405"/>
      <c r="Q241" s="1405"/>
      <c r="R241" s="1405"/>
      <c r="S241" s="1735"/>
    </row>
    <row r="242" spans="1:19" s="1729" customFormat="1" ht="14.25" customHeight="1" x14ac:dyDescent="0.2">
      <c r="A242" s="1402"/>
      <c r="B242" s="1405"/>
      <c r="C242" s="1407"/>
      <c r="D242" s="1405"/>
      <c r="E242" s="1405"/>
      <c r="F242" s="1405"/>
      <c r="G242" s="1405"/>
      <c r="H242" s="1405"/>
      <c r="I242" s="1405"/>
      <c r="J242" s="1405"/>
      <c r="K242" s="1405"/>
      <c r="L242" s="1405"/>
      <c r="M242" s="1405"/>
      <c r="N242" s="1405"/>
      <c r="O242" s="1405"/>
      <c r="P242" s="1405"/>
      <c r="Q242" s="1405"/>
      <c r="R242" s="1405"/>
      <c r="S242" s="1735"/>
    </row>
    <row r="243" spans="1:19" s="1537" customFormat="1" ht="11.25" customHeight="1" x14ac:dyDescent="0.2">
      <c r="A243" s="1402"/>
      <c r="B243" s="1405"/>
      <c r="C243" s="1407"/>
      <c r="D243" s="1405"/>
      <c r="E243" s="1405"/>
      <c r="F243" s="1405"/>
      <c r="G243" s="1405"/>
      <c r="H243" s="1405"/>
      <c r="I243" s="1405"/>
      <c r="J243" s="1405"/>
      <c r="K243" s="1405"/>
      <c r="L243" s="1405"/>
      <c r="M243" s="1405"/>
      <c r="N243" s="1405"/>
      <c r="O243" s="1405"/>
      <c r="P243" s="1405"/>
      <c r="Q243" s="1405"/>
      <c r="R243" s="1405"/>
      <c r="S243" s="1735"/>
    </row>
    <row r="244" spans="1:19" s="1537" customFormat="1" ht="12.75" customHeight="1" x14ac:dyDescent="0.2">
      <c r="A244" s="1402"/>
      <c r="B244" s="1405"/>
      <c r="C244" s="1407"/>
      <c r="D244" s="1405"/>
      <c r="E244" s="1405"/>
      <c r="F244" s="1405"/>
      <c r="G244" s="1405"/>
      <c r="H244" s="1405"/>
      <c r="I244" s="1405"/>
      <c r="J244" s="1405"/>
      <c r="K244" s="1405"/>
      <c r="L244" s="1405"/>
      <c r="M244" s="1405"/>
      <c r="N244" s="1405"/>
      <c r="O244" s="1405"/>
      <c r="P244" s="1405"/>
      <c r="Q244" s="1405"/>
      <c r="R244" s="1405"/>
      <c r="S244" s="1735"/>
    </row>
    <row r="245" spans="1:19" s="1729" customFormat="1" ht="23.25" customHeight="1" x14ac:dyDescent="0.2">
      <c r="A245" s="1402"/>
      <c r="B245" s="1405"/>
      <c r="C245" s="1407"/>
      <c r="D245" s="1405"/>
      <c r="E245" s="1405"/>
      <c r="F245" s="1405"/>
      <c r="G245" s="1405"/>
      <c r="H245" s="1405"/>
      <c r="I245" s="1405"/>
      <c r="J245" s="1405"/>
      <c r="K245" s="1405"/>
      <c r="L245" s="1405"/>
      <c r="M245" s="1405"/>
      <c r="N245" s="1405"/>
      <c r="O245" s="1405"/>
      <c r="P245" s="1405"/>
      <c r="Q245" s="1405"/>
      <c r="R245" s="1405"/>
      <c r="S245" s="1735"/>
    </row>
    <row r="246" spans="1:19" s="1537" customFormat="1" ht="11.25" customHeight="1" x14ac:dyDescent="0.2">
      <c r="A246" s="1402"/>
      <c r="B246" s="1405"/>
      <c r="C246" s="1407"/>
      <c r="D246" s="1405"/>
      <c r="E246" s="1405"/>
      <c r="F246" s="1405"/>
      <c r="G246" s="1405"/>
      <c r="H246" s="1405"/>
      <c r="I246" s="1405"/>
      <c r="J246" s="1405"/>
      <c r="K246" s="1405"/>
      <c r="L246" s="1405"/>
      <c r="M246" s="1405"/>
      <c r="N246" s="1405"/>
      <c r="O246" s="1405"/>
      <c r="P246" s="1405"/>
      <c r="Q246" s="1405"/>
      <c r="R246" s="1405"/>
      <c r="S246" s="1735"/>
    </row>
    <row r="247" spans="1:19" s="1537" customFormat="1" x14ac:dyDescent="0.2">
      <c r="A247" s="1402"/>
      <c r="B247" s="1405"/>
      <c r="C247" s="1407"/>
      <c r="D247" s="1405"/>
      <c r="E247" s="1405"/>
      <c r="F247" s="1405"/>
      <c r="G247" s="1405"/>
      <c r="H247" s="1405"/>
      <c r="I247" s="1405"/>
      <c r="J247" s="1405"/>
      <c r="K247" s="1405"/>
      <c r="L247" s="1405"/>
      <c r="M247" s="1405"/>
      <c r="N247" s="1405"/>
      <c r="O247" s="1405"/>
      <c r="P247" s="1405"/>
      <c r="Q247" s="1405"/>
      <c r="R247" s="1405"/>
      <c r="S247" s="1735"/>
    </row>
    <row r="248" spans="1:19" s="1537" customFormat="1" x14ac:dyDescent="0.2">
      <c r="A248" s="1402"/>
      <c r="B248" s="1405"/>
      <c r="C248" s="1407"/>
      <c r="D248" s="1405"/>
      <c r="E248" s="1405"/>
      <c r="F248" s="1405"/>
      <c r="G248" s="1405"/>
      <c r="H248" s="1405"/>
      <c r="I248" s="1405"/>
      <c r="J248" s="1405"/>
      <c r="K248" s="1405"/>
      <c r="L248" s="1405"/>
      <c r="M248" s="1405"/>
      <c r="N248" s="1405"/>
      <c r="O248" s="1405"/>
      <c r="P248" s="1405"/>
      <c r="Q248" s="1405"/>
      <c r="R248" s="1405"/>
      <c r="S248" s="1735"/>
    </row>
    <row r="249" spans="1:19" s="1729" customFormat="1" ht="23.25" customHeight="1" x14ac:dyDescent="0.2">
      <c r="A249" s="1402"/>
      <c r="B249" s="1405"/>
      <c r="C249" s="1407"/>
      <c r="D249" s="1405"/>
      <c r="E249" s="1405"/>
      <c r="F249" s="1405"/>
      <c r="G249" s="1405"/>
      <c r="H249" s="1405"/>
      <c r="I249" s="1405"/>
      <c r="J249" s="1405"/>
      <c r="K249" s="1405"/>
      <c r="L249" s="1405"/>
      <c r="M249" s="1405"/>
      <c r="N249" s="1405"/>
      <c r="O249" s="1405"/>
      <c r="P249" s="1405"/>
      <c r="Q249" s="1405"/>
      <c r="R249" s="1405"/>
      <c r="S249" s="1735"/>
    </row>
    <row r="250" spans="1:19" s="1537" customFormat="1" ht="11.25" customHeight="1" x14ac:dyDescent="0.2">
      <c r="A250" s="1402"/>
      <c r="B250" s="1405"/>
      <c r="C250" s="1407"/>
      <c r="D250" s="1405"/>
      <c r="E250" s="1405"/>
      <c r="F250" s="1405"/>
      <c r="G250" s="1405"/>
      <c r="H250" s="1405"/>
      <c r="I250" s="1405"/>
      <c r="J250" s="1405"/>
      <c r="K250" s="1405"/>
      <c r="L250" s="1405"/>
      <c r="M250" s="1405"/>
      <c r="N250" s="1405"/>
      <c r="O250" s="1405"/>
      <c r="P250" s="1405"/>
      <c r="Q250" s="1405"/>
      <c r="R250" s="1405"/>
      <c r="S250" s="1735"/>
    </row>
    <row r="251" spans="1:19" s="1537" customFormat="1" x14ac:dyDescent="0.2">
      <c r="A251" s="1402"/>
      <c r="B251" s="1405"/>
      <c r="C251" s="1407"/>
      <c r="D251" s="1405"/>
      <c r="E251" s="1405"/>
      <c r="F251" s="1405"/>
      <c r="G251" s="1405"/>
      <c r="H251" s="1405"/>
      <c r="I251" s="1405"/>
      <c r="J251" s="1405"/>
      <c r="K251" s="1405"/>
      <c r="L251" s="1405"/>
      <c r="M251" s="1405"/>
      <c r="N251" s="1405"/>
      <c r="O251" s="1405"/>
      <c r="P251" s="1405"/>
      <c r="Q251" s="1405"/>
      <c r="R251" s="1405"/>
      <c r="S251" s="1735"/>
    </row>
    <row r="252" spans="1:19" x14ac:dyDescent="0.2">
      <c r="A252" s="1402"/>
      <c r="B252" s="1405"/>
      <c r="C252" s="1407"/>
      <c r="D252" s="1405"/>
      <c r="E252" s="1405"/>
      <c r="F252" s="1405"/>
      <c r="G252" s="1405"/>
      <c r="H252" s="1405"/>
      <c r="I252" s="1405"/>
      <c r="J252" s="1405"/>
      <c r="K252" s="1405"/>
      <c r="L252" s="1405"/>
      <c r="M252" s="1405"/>
      <c r="S252" s="1735"/>
    </row>
    <row r="253" spans="1:19" x14ac:dyDescent="0.2">
      <c r="A253" s="1402"/>
      <c r="B253" s="1405"/>
      <c r="C253" s="1407"/>
      <c r="D253" s="1405"/>
      <c r="E253" s="1405"/>
      <c r="F253" s="1405"/>
      <c r="G253" s="1405"/>
      <c r="H253" s="1405"/>
      <c r="I253" s="1405"/>
      <c r="J253" s="1405"/>
      <c r="K253" s="1405"/>
      <c r="L253" s="1405"/>
      <c r="M253" s="1405"/>
      <c r="S253" s="1735"/>
    </row>
    <row r="254" spans="1:19" x14ac:dyDescent="0.2">
      <c r="A254" s="1402"/>
      <c r="B254" s="1405"/>
      <c r="C254" s="1407"/>
      <c r="D254" s="1405"/>
      <c r="E254" s="1405"/>
      <c r="F254" s="1405"/>
      <c r="G254" s="1405"/>
      <c r="H254" s="1405"/>
      <c r="I254" s="1405"/>
      <c r="J254" s="1405"/>
      <c r="K254" s="1405"/>
      <c r="L254" s="1405"/>
      <c r="M254" s="1405"/>
      <c r="S254" s="1735"/>
    </row>
    <row r="255" spans="1:19" x14ac:dyDescent="0.2">
      <c r="A255" s="1402"/>
      <c r="B255" s="1405"/>
      <c r="C255" s="1407"/>
      <c r="D255" s="1405"/>
      <c r="E255" s="1405"/>
      <c r="F255" s="1405"/>
      <c r="G255" s="1405"/>
      <c r="H255" s="1405"/>
      <c r="I255" s="1405"/>
      <c r="J255" s="1405"/>
      <c r="K255" s="1405"/>
      <c r="L255" s="1405"/>
      <c r="M255" s="1405"/>
      <c r="S255" s="1735"/>
    </row>
    <row r="256" spans="1:19" x14ac:dyDescent="0.2">
      <c r="A256" s="1402"/>
      <c r="B256" s="1405"/>
      <c r="C256" s="1407"/>
      <c r="D256" s="1405"/>
      <c r="E256" s="1405"/>
      <c r="F256" s="1405"/>
      <c r="G256" s="1405"/>
      <c r="H256" s="1405"/>
      <c r="I256" s="1405"/>
      <c r="J256" s="1405"/>
      <c r="K256" s="1405"/>
      <c r="L256" s="1405"/>
      <c r="M256" s="1405"/>
      <c r="S256" s="1735"/>
    </row>
    <row r="257" spans="1:19" x14ac:dyDescent="0.2">
      <c r="A257" s="1402"/>
      <c r="B257" s="1405"/>
      <c r="C257" s="1407"/>
      <c r="D257" s="1405"/>
      <c r="E257" s="1405"/>
      <c r="F257" s="1405"/>
      <c r="G257" s="1405"/>
      <c r="H257" s="1405"/>
      <c r="I257" s="1405"/>
      <c r="J257" s="1405"/>
      <c r="K257" s="1405"/>
      <c r="L257" s="1405"/>
      <c r="M257" s="1405"/>
      <c r="S257" s="1735"/>
    </row>
    <row r="258" spans="1:19" x14ac:dyDescent="0.2">
      <c r="A258" s="1402"/>
      <c r="B258" s="1405"/>
      <c r="C258" s="1407"/>
      <c r="D258" s="1405"/>
      <c r="E258" s="1405"/>
      <c r="F258" s="1405"/>
      <c r="G258" s="1405"/>
      <c r="H258" s="1405"/>
      <c r="I258" s="1405"/>
      <c r="J258" s="1405"/>
      <c r="K258" s="1405"/>
      <c r="L258" s="1405"/>
      <c r="M258" s="1405"/>
      <c r="S258" s="1735"/>
    </row>
    <row r="259" spans="1:19" x14ac:dyDescent="0.2">
      <c r="A259" s="1402"/>
      <c r="B259" s="1405"/>
      <c r="C259" s="1407"/>
      <c r="D259" s="1405"/>
      <c r="E259" s="1405"/>
      <c r="F259" s="1405"/>
      <c r="G259" s="1405"/>
      <c r="H259" s="1405"/>
      <c r="I259" s="1405"/>
      <c r="J259" s="1405"/>
      <c r="K259" s="1405"/>
      <c r="L259" s="1405"/>
      <c r="M259" s="1405"/>
      <c r="S259" s="1731"/>
    </row>
    <row r="260" spans="1:19" x14ac:dyDescent="0.2">
      <c r="A260" s="1402"/>
      <c r="B260" s="1405"/>
      <c r="C260" s="1407"/>
      <c r="D260" s="1405"/>
      <c r="E260" s="1405"/>
      <c r="F260" s="1405"/>
      <c r="G260" s="1405"/>
      <c r="H260" s="1405"/>
      <c r="I260" s="1405"/>
      <c r="J260" s="1405"/>
      <c r="K260" s="1405"/>
      <c r="L260" s="1405"/>
      <c r="M260" s="1405"/>
      <c r="S260" s="1731"/>
    </row>
    <row r="261" spans="1:19" x14ac:dyDescent="0.2">
      <c r="A261" s="1402"/>
      <c r="B261" s="1405"/>
      <c r="C261" s="1407"/>
      <c r="D261" s="1405"/>
      <c r="E261" s="1405"/>
      <c r="F261" s="1405"/>
      <c r="G261" s="1405"/>
      <c r="H261" s="1405"/>
      <c r="I261" s="1405"/>
      <c r="J261" s="1405"/>
      <c r="K261" s="1405"/>
      <c r="L261" s="1405"/>
      <c r="M261" s="1405"/>
      <c r="S261" s="1731"/>
    </row>
    <row r="262" spans="1:19" x14ac:dyDescent="0.2">
      <c r="A262" s="1402"/>
      <c r="B262" s="1405"/>
      <c r="C262" s="1407"/>
      <c r="D262" s="1405"/>
      <c r="E262" s="1405"/>
      <c r="F262" s="1405"/>
      <c r="G262" s="1405"/>
      <c r="H262" s="1405"/>
      <c r="I262" s="1405"/>
      <c r="J262" s="1405"/>
      <c r="K262" s="1405"/>
      <c r="L262" s="1405"/>
      <c r="M262" s="1405"/>
      <c r="S262" s="1731"/>
    </row>
    <row r="263" spans="1:19" x14ac:dyDescent="0.2">
      <c r="A263" s="1402"/>
      <c r="B263" s="1405"/>
      <c r="C263" s="1407"/>
      <c r="D263" s="1405"/>
      <c r="E263" s="1405"/>
      <c r="F263" s="1405"/>
      <c r="G263" s="1405"/>
      <c r="H263" s="1405"/>
      <c r="I263" s="1405"/>
      <c r="J263" s="1405"/>
      <c r="K263" s="1405"/>
      <c r="L263" s="1405"/>
      <c r="M263" s="1405"/>
      <c r="S263" s="1731"/>
    </row>
    <row r="264" spans="1:19" x14ac:dyDescent="0.2">
      <c r="A264" s="1402"/>
      <c r="B264" s="1405"/>
      <c r="C264" s="1407"/>
      <c r="D264" s="1405"/>
      <c r="E264" s="1405"/>
      <c r="F264" s="1405"/>
      <c r="G264" s="1405"/>
      <c r="H264" s="1405"/>
      <c r="I264" s="1405"/>
      <c r="J264" s="1405"/>
      <c r="K264" s="1405"/>
      <c r="L264" s="1405"/>
      <c r="M264" s="1405"/>
      <c r="S264" s="1731"/>
    </row>
    <row r="265" spans="1:19" x14ac:dyDescent="0.2">
      <c r="A265" s="1402"/>
      <c r="B265" s="1405"/>
      <c r="C265" s="1407"/>
      <c r="D265" s="1405"/>
      <c r="E265" s="1405"/>
      <c r="F265" s="1405"/>
      <c r="G265" s="1405"/>
      <c r="H265" s="1405"/>
      <c r="I265" s="1405"/>
      <c r="J265" s="1405"/>
      <c r="K265" s="1405"/>
      <c r="L265" s="1405"/>
      <c r="M265" s="1405"/>
      <c r="S265" s="1731"/>
    </row>
    <row r="266" spans="1:19" x14ac:dyDescent="0.2">
      <c r="A266" s="1402"/>
      <c r="B266" s="1405"/>
      <c r="C266" s="1407"/>
      <c r="D266" s="1405"/>
      <c r="E266" s="1405"/>
      <c r="F266" s="1405"/>
      <c r="G266" s="1405"/>
      <c r="H266" s="1405"/>
      <c r="I266" s="1405"/>
      <c r="J266" s="1405"/>
      <c r="K266" s="1405"/>
      <c r="L266" s="1405"/>
      <c r="M266" s="1405"/>
      <c r="S266" s="1731"/>
    </row>
    <row r="267" spans="1:19" x14ac:dyDescent="0.2">
      <c r="A267" s="1402"/>
      <c r="B267" s="1405"/>
      <c r="C267" s="1407"/>
      <c r="D267" s="1405"/>
      <c r="E267" s="1405"/>
      <c r="F267" s="1405"/>
      <c r="G267" s="1405"/>
      <c r="H267" s="1405"/>
      <c r="I267" s="1405"/>
      <c r="J267" s="1405"/>
      <c r="K267" s="1405"/>
      <c r="L267" s="1405"/>
      <c r="M267" s="1405"/>
      <c r="S267" s="1731"/>
    </row>
    <row r="268" spans="1:19" x14ac:dyDescent="0.2">
      <c r="A268" s="1402"/>
      <c r="B268" s="1405"/>
      <c r="C268" s="1407"/>
      <c r="D268" s="1405"/>
      <c r="E268" s="1405"/>
      <c r="F268" s="1405"/>
      <c r="G268" s="1405"/>
      <c r="H268" s="1405"/>
      <c r="I268" s="1405"/>
      <c r="J268" s="1405"/>
      <c r="K268" s="1405"/>
      <c r="L268" s="1405"/>
      <c r="M268" s="1405"/>
      <c r="S268" s="1731"/>
    </row>
    <row r="269" spans="1:19" x14ac:dyDescent="0.2">
      <c r="A269" s="1402"/>
      <c r="B269" s="1405"/>
      <c r="C269" s="1407"/>
      <c r="D269" s="1405"/>
      <c r="E269" s="1405"/>
      <c r="F269" s="1405"/>
      <c r="G269" s="1405"/>
      <c r="H269" s="1405"/>
      <c r="I269" s="1405"/>
      <c r="J269" s="1405"/>
      <c r="K269" s="1405"/>
      <c r="L269" s="1405"/>
      <c r="M269" s="1405"/>
      <c r="S269" s="1731"/>
    </row>
    <row r="270" spans="1:19" x14ac:dyDescent="0.2">
      <c r="A270" s="1402"/>
      <c r="B270" s="1405"/>
      <c r="C270" s="1407"/>
      <c r="D270" s="1405"/>
      <c r="E270" s="1405"/>
      <c r="F270" s="1405"/>
      <c r="G270" s="1405"/>
      <c r="H270" s="1405"/>
      <c r="I270" s="1405"/>
      <c r="J270" s="1405"/>
      <c r="K270" s="1405"/>
      <c r="L270" s="1405"/>
      <c r="M270" s="1405"/>
      <c r="S270" s="1731"/>
    </row>
    <row r="271" spans="1:19" x14ac:dyDescent="0.2">
      <c r="A271" s="1402"/>
      <c r="B271" s="1405"/>
      <c r="C271" s="1407"/>
      <c r="D271" s="1405"/>
      <c r="E271" s="1405"/>
      <c r="F271" s="1405"/>
      <c r="G271" s="1405"/>
      <c r="H271" s="1405"/>
      <c r="I271" s="1405"/>
      <c r="J271" s="1405"/>
      <c r="K271" s="1405"/>
      <c r="L271" s="1405"/>
      <c r="M271" s="1405"/>
      <c r="S271" s="1731"/>
    </row>
    <row r="272" spans="1:19" x14ac:dyDescent="0.2">
      <c r="A272" s="1402"/>
      <c r="B272" s="1405"/>
      <c r="C272" s="1407"/>
      <c r="D272" s="1405"/>
      <c r="E272" s="1405"/>
      <c r="F272" s="1405"/>
      <c r="G272" s="1405"/>
      <c r="H272" s="1405"/>
      <c r="I272" s="1405"/>
      <c r="J272" s="1405"/>
      <c r="K272" s="1405"/>
      <c r="L272" s="1405"/>
      <c r="M272" s="1405"/>
      <c r="S272" s="1731"/>
    </row>
    <row r="273" spans="1:19" x14ac:dyDescent="0.2">
      <c r="A273" s="1402"/>
      <c r="B273" s="1405"/>
      <c r="C273" s="1407"/>
      <c r="D273" s="1405"/>
      <c r="E273" s="1405"/>
      <c r="F273" s="1405"/>
      <c r="G273" s="1405"/>
      <c r="H273" s="1405"/>
      <c r="I273" s="1405"/>
      <c r="J273" s="1405"/>
      <c r="K273" s="1405"/>
      <c r="L273" s="1405"/>
      <c r="M273" s="1405"/>
      <c r="S273" s="1731"/>
    </row>
    <row r="274" spans="1:19" x14ac:dyDescent="0.2">
      <c r="A274" s="1402"/>
      <c r="B274" s="1405"/>
      <c r="C274" s="1407"/>
      <c r="D274" s="1405"/>
      <c r="E274" s="1405"/>
      <c r="F274" s="1405"/>
      <c r="G274" s="1405"/>
      <c r="H274" s="1405"/>
      <c r="I274" s="1405"/>
      <c r="J274" s="1405"/>
      <c r="K274" s="1405"/>
      <c r="L274" s="1405"/>
      <c r="M274" s="1405"/>
      <c r="S274" s="1731"/>
    </row>
    <row r="275" spans="1:19" x14ac:dyDescent="0.2">
      <c r="A275" s="1402"/>
      <c r="B275" s="1405"/>
      <c r="C275" s="1407"/>
      <c r="D275" s="1405"/>
      <c r="E275" s="1405"/>
      <c r="F275" s="1405"/>
      <c r="G275" s="1405"/>
      <c r="H275" s="1405"/>
      <c r="I275" s="1405"/>
      <c r="J275" s="1405"/>
      <c r="K275" s="1405"/>
      <c r="L275" s="1405"/>
      <c r="M275" s="1405"/>
      <c r="S275" s="1731"/>
    </row>
    <row r="276" spans="1:19" x14ac:dyDescent="0.2">
      <c r="A276" s="1402"/>
      <c r="B276" s="1405"/>
      <c r="C276" s="1407"/>
      <c r="D276" s="1405"/>
      <c r="E276" s="1405"/>
      <c r="F276" s="1405"/>
      <c r="G276" s="1405"/>
      <c r="H276" s="1405"/>
      <c r="I276" s="1405"/>
      <c r="J276" s="1405"/>
      <c r="K276" s="1405"/>
      <c r="L276" s="1405"/>
      <c r="M276" s="1405"/>
      <c r="S276" s="1731"/>
    </row>
    <row r="277" spans="1:19" x14ac:dyDescent="0.2">
      <c r="A277" s="1402"/>
      <c r="B277" s="1405"/>
      <c r="C277" s="1407"/>
      <c r="D277" s="1405"/>
      <c r="E277" s="1405"/>
      <c r="F277" s="1405"/>
      <c r="G277" s="1405"/>
      <c r="H277" s="1405"/>
      <c r="I277" s="1405"/>
      <c r="J277" s="1405"/>
      <c r="K277" s="1405"/>
      <c r="L277" s="1405"/>
      <c r="M277" s="1405"/>
      <c r="S277" s="1731"/>
    </row>
    <row r="278" spans="1:19" x14ac:dyDescent="0.2">
      <c r="A278" s="1402"/>
      <c r="B278" s="1405"/>
      <c r="C278" s="1407"/>
      <c r="D278" s="1405"/>
      <c r="E278" s="1405"/>
      <c r="F278" s="1405"/>
      <c r="G278" s="1405"/>
      <c r="H278" s="1405"/>
      <c r="I278" s="1405"/>
      <c r="J278" s="1405"/>
      <c r="K278" s="1405"/>
      <c r="L278" s="1405"/>
      <c r="M278" s="1405"/>
      <c r="S278" s="1731"/>
    </row>
    <row r="279" spans="1:19" x14ac:dyDescent="0.2">
      <c r="A279" s="1402"/>
      <c r="B279" s="1405"/>
      <c r="C279" s="1407"/>
      <c r="D279" s="1405"/>
      <c r="E279" s="1405"/>
      <c r="F279" s="1405"/>
      <c r="G279" s="1405"/>
      <c r="H279" s="1405"/>
      <c r="I279" s="1405"/>
      <c r="J279" s="1405"/>
      <c r="K279" s="1405"/>
      <c r="L279" s="1405"/>
      <c r="M279" s="1405"/>
      <c r="S279" s="1731"/>
    </row>
    <row r="280" spans="1:19" x14ac:dyDescent="0.2">
      <c r="A280" s="1402"/>
      <c r="B280" s="1405"/>
      <c r="C280" s="1407"/>
      <c r="D280" s="1405"/>
      <c r="E280" s="1405"/>
      <c r="F280" s="1405"/>
      <c r="G280" s="1405"/>
      <c r="H280" s="1405"/>
      <c r="I280" s="1405"/>
      <c r="J280" s="1405"/>
      <c r="K280" s="1405"/>
      <c r="L280" s="1405"/>
      <c r="M280" s="1405"/>
      <c r="S280" s="1731"/>
    </row>
    <row r="281" spans="1:19" x14ac:dyDescent="0.2">
      <c r="A281" s="1402"/>
      <c r="B281" s="1405"/>
      <c r="C281" s="1407"/>
      <c r="D281" s="1405"/>
      <c r="E281" s="1405"/>
      <c r="F281" s="1405"/>
      <c r="G281" s="1405"/>
      <c r="H281" s="1405"/>
      <c r="I281" s="1405"/>
      <c r="J281" s="1405"/>
      <c r="K281" s="1405"/>
      <c r="L281" s="1405"/>
      <c r="M281" s="1405"/>
      <c r="S281" s="1731"/>
    </row>
    <row r="282" spans="1:19" x14ac:dyDescent="0.2">
      <c r="A282" s="1402"/>
      <c r="B282" s="1405"/>
      <c r="C282" s="1407"/>
      <c r="D282" s="1405"/>
      <c r="E282" s="1405"/>
      <c r="F282" s="1405"/>
      <c r="G282" s="1405"/>
      <c r="H282" s="1405"/>
      <c r="I282" s="1405"/>
      <c r="J282" s="1405"/>
      <c r="K282" s="1405"/>
      <c r="L282" s="1405"/>
      <c r="M282" s="1405"/>
      <c r="S282" s="1731"/>
    </row>
    <row r="283" spans="1:19" x14ac:dyDescent="0.2">
      <c r="A283" s="1402"/>
      <c r="B283" s="1405"/>
      <c r="C283" s="1407"/>
      <c r="D283" s="1405"/>
      <c r="E283" s="1405"/>
      <c r="F283" s="1405"/>
      <c r="G283" s="1405"/>
      <c r="H283" s="1405"/>
      <c r="I283" s="1405"/>
      <c r="J283" s="1405"/>
      <c r="K283" s="1405"/>
      <c r="L283" s="1405"/>
      <c r="M283" s="1405"/>
      <c r="S283" s="1731"/>
    </row>
    <row r="284" spans="1:19" x14ac:dyDescent="0.2">
      <c r="A284" s="1402"/>
      <c r="B284" s="1405"/>
      <c r="C284" s="1407"/>
      <c r="D284" s="1405"/>
      <c r="E284" s="1405"/>
      <c r="F284" s="1405"/>
      <c r="G284" s="1405"/>
      <c r="H284" s="1405"/>
      <c r="I284" s="1405"/>
      <c r="J284" s="1405"/>
      <c r="K284" s="1405"/>
      <c r="L284" s="1405"/>
      <c r="M284" s="1405"/>
      <c r="S284" s="1731"/>
    </row>
    <row r="285" spans="1:19" x14ac:dyDescent="0.2">
      <c r="A285" s="1402"/>
      <c r="B285" s="1405"/>
      <c r="C285" s="1407"/>
      <c r="D285" s="1405"/>
      <c r="E285" s="1405"/>
      <c r="F285" s="1405"/>
      <c r="G285" s="1405"/>
      <c r="H285" s="1405"/>
      <c r="I285" s="1405"/>
      <c r="J285" s="1405"/>
      <c r="K285" s="1405"/>
      <c r="L285" s="1405"/>
      <c r="M285" s="1405"/>
      <c r="S285" s="1731"/>
    </row>
    <row r="286" spans="1:19" x14ac:dyDescent="0.2">
      <c r="A286" s="1402"/>
      <c r="B286" s="1405"/>
      <c r="C286" s="1407"/>
      <c r="D286" s="1405"/>
      <c r="E286" s="1405"/>
      <c r="F286" s="1405"/>
      <c r="G286" s="1405"/>
      <c r="H286" s="1405"/>
      <c r="I286" s="1405"/>
      <c r="J286" s="1405"/>
      <c r="K286" s="1405"/>
      <c r="L286" s="1405"/>
      <c r="M286" s="1405"/>
      <c r="S286" s="1731"/>
    </row>
    <row r="287" spans="1:19" x14ac:dyDescent="0.2">
      <c r="A287" s="1402"/>
      <c r="B287" s="1405"/>
      <c r="C287" s="1407"/>
      <c r="D287" s="1405"/>
      <c r="E287" s="1405"/>
      <c r="F287" s="1405"/>
      <c r="G287" s="1405"/>
      <c r="H287" s="1405"/>
      <c r="I287" s="1405"/>
      <c r="J287" s="1405"/>
      <c r="K287" s="1405"/>
      <c r="L287" s="1405"/>
      <c r="M287" s="1405"/>
      <c r="S287" s="1731"/>
    </row>
    <row r="288" spans="1:19" x14ac:dyDescent="0.2">
      <c r="A288" s="1402"/>
      <c r="B288" s="1405"/>
      <c r="C288" s="1407"/>
      <c r="D288" s="1405"/>
      <c r="E288" s="1405"/>
      <c r="F288" s="1405"/>
      <c r="G288" s="1405"/>
      <c r="H288" s="1405"/>
      <c r="I288" s="1405"/>
      <c r="J288" s="1405"/>
      <c r="K288" s="1405"/>
      <c r="L288" s="1405"/>
      <c r="M288" s="1405"/>
      <c r="S288" s="1731"/>
    </row>
    <row r="289" spans="1:19" x14ac:dyDescent="0.2">
      <c r="A289" s="1402"/>
      <c r="B289" s="1405"/>
      <c r="C289" s="1407"/>
      <c r="D289" s="1405"/>
      <c r="E289" s="1405"/>
      <c r="F289" s="1405"/>
      <c r="G289" s="1405"/>
      <c r="H289" s="1405"/>
      <c r="I289" s="1405"/>
      <c r="J289" s="1405"/>
      <c r="K289" s="1405"/>
      <c r="L289" s="1405"/>
      <c r="M289" s="1405"/>
      <c r="S289" s="1731"/>
    </row>
    <row r="290" spans="1:19" x14ac:dyDescent="0.2">
      <c r="A290" s="1402"/>
      <c r="B290" s="1405"/>
      <c r="C290" s="1407"/>
      <c r="D290" s="1405"/>
      <c r="E290" s="1405"/>
      <c r="F290" s="1405"/>
      <c r="G290" s="1405"/>
      <c r="H290" s="1405"/>
      <c r="I290" s="1405"/>
      <c r="J290" s="1405"/>
      <c r="K290" s="1405"/>
      <c r="L290" s="1405"/>
      <c r="M290" s="1405"/>
      <c r="S290" s="1731"/>
    </row>
    <row r="291" spans="1:19" x14ac:dyDescent="0.2">
      <c r="A291" s="1402"/>
      <c r="B291" s="1405"/>
      <c r="C291" s="1407"/>
      <c r="D291" s="1405"/>
      <c r="E291" s="1405"/>
      <c r="F291" s="1405"/>
      <c r="G291" s="1405"/>
      <c r="H291" s="1405"/>
      <c r="I291" s="1405"/>
      <c r="J291" s="1405"/>
      <c r="K291" s="1405"/>
      <c r="L291" s="1405"/>
      <c r="M291" s="1405"/>
      <c r="S291" s="1731"/>
    </row>
    <row r="292" spans="1:19" x14ac:dyDescent="0.2">
      <c r="A292" s="1402"/>
      <c r="B292" s="1405"/>
      <c r="C292" s="1407"/>
      <c r="D292" s="1405"/>
      <c r="E292" s="1405"/>
      <c r="F292" s="1405"/>
      <c r="G292" s="1405"/>
      <c r="H292" s="1405"/>
      <c r="I292" s="1405"/>
      <c r="J292" s="1405"/>
      <c r="K292" s="1405"/>
      <c r="L292" s="1405"/>
      <c r="M292" s="1405"/>
      <c r="S292" s="1731"/>
    </row>
    <row r="293" spans="1:19" x14ac:dyDescent="0.2">
      <c r="A293" s="1402"/>
      <c r="B293" s="1405"/>
      <c r="C293" s="1407"/>
      <c r="D293" s="1405"/>
      <c r="E293" s="1405"/>
      <c r="F293" s="1405"/>
      <c r="G293" s="1405"/>
      <c r="H293" s="1405"/>
      <c r="I293" s="1405"/>
      <c r="J293" s="1405"/>
      <c r="K293" s="1405"/>
      <c r="L293" s="1405"/>
      <c r="M293" s="1405"/>
      <c r="S293" s="1731"/>
    </row>
    <row r="294" spans="1:19" x14ac:dyDescent="0.2">
      <c r="A294" s="1402"/>
      <c r="B294" s="1405"/>
      <c r="C294" s="1407"/>
      <c r="D294" s="1405"/>
      <c r="E294" s="1405"/>
      <c r="F294" s="1405"/>
      <c r="G294" s="1405"/>
      <c r="H294" s="1405"/>
      <c r="I294" s="1405"/>
      <c r="J294" s="1405"/>
      <c r="K294" s="1405"/>
      <c r="L294" s="1405"/>
      <c r="M294" s="1405"/>
      <c r="S294" s="1731"/>
    </row>
    <row r="295" spans="1:19" x14ac:dyDescent="0.2">
      <c r="A295" s="1402"/>
      <c r="B295" s="1405"/>
      <c r="C295" s="1407"/>
      <c r="D295" s="1405"/>
      <c r="E295" s="1405"/>
      <c r="F295" s="1405"/>
      <c r="G295" s="1405"/>
      <c r="H295" s="1405"/>
      <c r="I295" s="1405"/>
      <c r="J295" s="1405"/>
      <c r="K295" s="1405"/>
      <c r="L295" s="1405"/>
      <c r="M295" s="1405"/>
      <c r="S295" s="1731"/>
    </row>
    <row r="296" spans="1:19" x14ac:dyDescent="0.2">
      <c r="A296" s="1402"/>
      <c r="B296" s="1405"/>
      <c r="C296" s="1407"/>
      <c r="D296" s="1405"/>
      <c r="E296" s="1405"/>
      <c r="F296" s="1405"/>
      <c r="G296" s="1405"/>
      <c r="H296" s="1405"/>
      <c r="I296" s="1405"/>
      <c r="J296" s="1405"/>
      <c r="K296" s="1405"/>
      <c r="L296" s="1405"/>
      <c r="M296" s="1405"/>
      <c r="S296" s="1731"/>
    </row>
    <row r="297" spans="1:19" x14ac:dyDescent="0.2">
      <c r="A297" s="1402"/>
      <c r="B297" s="1405"/>
      <c r="C297" s="1407"/>
      <c r="D297" s="1405"/>
      <c r="E297" s="1405"/>
      <c r="F297" s="1405"/>
      <c r="G297" s="1405"/>
      <c r="H297" s="1405"/>
      <c r="I297" s="1405"/>
      <c r="J297" s="1405"/>
      <c r="K297" s="1405"/>
      <c r="L297" s="1405"/>
      <c r="M297" s="1405"/>
      <c r="S297" s="1731"/>
    </row>
    <row r="298" spans="1:19" x14ac:dyDescent="0.2">
      <c r="A298" s="1402"/>
      <c r="B298" s="1405"/>
      <c r="C298" s="1407"/>
      <c r="D298" s="1405"/>
      <c r="E298" s="1405"/>
      <c r="F298" s="1405"/>
      <c r="G298" s="1405"/>
      <c r="H298" s="1405"/>
      <c r="I298" s="1405"/>
      <c r="J298" s="1405"/>
      <c r="K298" s="1405"/>
      <c r="L298" s="1405"/>
      <c r="M298" s="1405"/>
      <c r="S298" s="1731"/>
    </row>
    <row r="299" spans="1:19" x14ac:dyDescent="0.2">
      <c r="A299" s="1402"/>
      <c r="B299" s="1405"/>
      <c r="C299" s="1407"/>
      <c r="D299" s="1405"/>
      <c r="E299" s="1405"/>
      <c r="F299" s="1405"/>
      <c r="G299" s="1405"/>
      <c r="H299" s="1405"/>
      <c r="I299" s="1405"/>
      <c r="J299" s="1405"/>
      <c r="K299" s="1405"/>
      <c r="L299" s="1405"/>
      <c r="M299" s="1405"/>
      <c r="S299" s="1731"/>
    </row>
    <row r="300" spans="1:19" x14ac:dyDescent="0.2">
      <c r="A300" s="1402"/>
      <c r="B300" s="1405"/>
      <c r="C300" s="1407"/>
      <c r="D300" s="1405"/>
      <c r="E300" s="1405"/>
      <c r="F300" s="1405"/>
      <c r="G300" s="1405"/>
      <c r="H300" s="1405"/>
      <c r="I300" s="1405"/>
      <c r="J300" s="1405"/>
      <c r="K300" s="1405"/>
      <c r="L300" s="1405"/>
      <c r="M300" s="1405"/>
      <c r="S300" s="1731"/>
    </row>
    <row r="301" spans="1:19" x14ac:dyDescent="0.2">
      <c r="A301" s="1402"/>
      <c r="B301" s="1405"/>
      <c r="C301" s="1407"/>
      <c r="D301" s="1405"/>
      <c r="E301" s="1405"/>
      <c r="F301" s="1405"/>
      <c r="G301" s="1405"/>
      <c r="H301" s="1405"/>
      <c r="I301" s="1405"/>
      <c r="J301" s="1405"/>
      <c r="K301" s="1405"/>
      <c r="L301" s="1405"/>
      <c r="M301" s="1405"/>
      <c r="S301" s="1731"/>
    </row>
    <row r="302" spans="1:19" x14ac:dyDescent="0.2">
      <c r="A302" s="1402"/>
      <c r="B302" s="1405"/>
      <c r="C302" s="1407"/>
      <c r="D302" s="1405"/>
      <c r="E302" s="1405"/>
      <c r="F302" s="1405"/>
      <c r="G302" s="1405"/>
      <c r="H302" s="1405"/>
      <c r="I302" s="1405"/>
      <c r="J302" s="1405"/>
      <c r="K302" s="1405"/>
      <c r="L302" s="1405"/>
      <c r="M302" s="1405"/>
      <c r="S302" s="1731"/>
    </row>
    <row r="303" spans="1:19" x14ac:dyDescent="0.2">
      <c r="A303" s="1402"/>
      <c r="B303" s="1405"/>
      <c r="C303" s="1407"/>
      <c r="D303" s="1405"/>
      <c r="E303" s="1405"/>
      <c r="F303" s="1405"/>
      <c r="G303" s="1405"/>
      <c r="H303" s="1405"/>
      <c r="I303" s="1405"/>
      <c r="J303" s="1405"/>
      <c r="K303" s="1405"/>
      <c r="L303" s="1405"/>
      <c r="M303" s="1405"/>
      <c r="S303" s="1731"/>
    </row>
    <row r="304" spans="1:19" x14ac:dyDescent="0.2">
      <c r="A304" s="1402"/>
      <c r="B304" s="1405"/>
      <c r="C304" s="1407"/>
      <c r="D304" s="1405"/>
      <c r="E304" s="1405"/>
      <c r="F304" s="1405"/>
      <c r="G304" s="1405"/>
      <c r="H304" s="1405"/>
      <c r="I304" s="1405"/>
      <c r="J304" s="1405"/>
      <c r="K304" s="1405"/>
      <c r="L304" s="1405"/>
      <c r="M304" s="1405"/>
      <c r="S304" s="1731"/>
    </row>
    <row r="305" spans="1:19" x14ac:dyDescent="0.2">
      <c r="A305" s="1402"/>
      <c r="B305" s="1405"/>
      <c r="C305" s="1407"/>
      <c r="D305" s="1405"/>
      <c r="E305" s="1405"/>
      <c r="F305" s="1405"/>
      <c r="G305" s="1405"/>
      <c r="H305" s="1405"/>
      <c r="I305" s="1405"/>
      <c r="J305" s="1405"/>
      <c r="K305" s="1405"/>
      <c r="L305" s="1405"/>
      <c r="M305" s="1405"/>
      <c r="S305" s="1731"/>
    </row>
    <row r="306" spans="1:19" x14ac:dyDescent="0.2">
      <c r="A306" s="1402"/>
      <c r="B306" s="1405"/>
      <c r="C306" s="1407"/>
      <c r="D306" s="1405"/>
      <c r="E306" s="1405"/>
      <c r="F306" s="1405"/>
      <c r="G306" s="1405"/>
      <c r="H306" s="1405"/>
      <c r="I306" s="1405"/>
      <c r="J306" s="1405"/>
      <c r="K306" s="1405"/>
      <c r="L306" s="1405"/>
      <c r="M306" s="1405"/>
      <c r="S306" s="1731"/>
    </row>
    <row r="307" spans="1:19" x14ac:dyDescent="0.2">
      <c r="A307" s="1402"/>
      <c r="B307" s="1405"/>
      <c r="C307" s="1407"/>
      <c r="D307" s="1405"/>
      <c r="E307" s="1405"/>
      <c r="F307" s="1405"/>
      <c r="G307" s="1405"/>
      <c r="H307" s="1405"/>
      <c r="I307" s="1405"/>
      <c r="J307" s="1405"/>
      <c r="K307" s="1405"/>
      <c r="L307" s="1405"/>
      <c r="M307" s="1405"/>
      <c r="S307" s="1731"/>
    </row>
    <row r="308" spans="1:19" x14ac:dyDescent="0.2">
      <c r="A308" s="1402"/>
      <c r="B308" s="1405"/>
      <c r="C308" s="1407"/>
      <c r="D308" s="1405"/>
      <c r="E308" s="1405"/>
      <c r="F308" s="1405"/>
      <c r="G308" s="1405"/>
      <c r="H308" s="1405"/>
      <c r="I308" s="1405"/>
      <c r="J308" s="1405"/>
      <c r="K308" s="1405"/>
      <c r="L308" s="1405"/>
      <c r="M308" s="1405"/>
      <c r="S308" s="1731"/>
    </row>
    <row r="309" spans="1:19" x14ac:dyDescent="0.2">
      <c r="A309" s="1402"/>
      <c r="B309" s="1405"/>
      <c r="C309" s="1407"/>
      <c r="D309" s="1405"/>
      <c r="E309" s="1405"/>
      <c r="F309" s="1405"/>
      <c r="G309" s="1405"/>
      <c r="H309" s="1405"/>
      <c r="I309" s="1405"/>
      <c r="J309" s="1405"/>
      <c r="K309" s="1405"/>
      <c r="L309" s="1405"/>
      <c r="M309" s="1405"/>
      <c r="S309" s="1731"/>
    </row>
    <row r="310" spans="1:19" x14ac:dyDescent="0.2">
      <c r="A310" s="1402"/>
      <c r="B310" s="1405"/>
      <c r="C310" s="1407"/>
      <c r="D310" s="1405"/>
      <c r="E310" s="1405"/>
      <c r="F310" s="1405"/>
      <c r="G310" s="1405"/>
      <c r="H310" s="1405"/>
      <c r="I310" s="1405"/>
      <c r="J310" s="1405"/>
      <c r="K310" s="1405"/>
      <c r="L310" s="1405"/>
      <c r="M310" s="1405"/>
      <c r="S310" s="1731"/>
    </row>
    <row r="311" spans="1:19" x14ac:dyDescent="0.2">
      <c r="A311" s="1402"/>
      <c r="B311" s="1405"/>
      <c r="C311" s="1407"/>
      <c r="D311" s="1405"/>
      <c r="E311" s="1405"/>
      <c r="F311" s="1405"/>
      <c r="G311" s="1405"/>
      <c r="H311" s="1405"/>
      <c r="I311" s="1405"/>
      <c r="J311" s="1405"/>
      <c r="K311" s="1405"/>
      <c r="L311" s="1405"/>
      <c r="M311" s="1405"/>
      <c r="S311" s="1731"/>
    </row>
    <row r="312" spans="1:19" x14ac:dyDescent="0.2">
      <c r="A312" s="1402"/>
      <c r="B312" s="1405"/>
      <c r="C312" s="1407"/>
      <c r="D312" s="1405"/>
      <c r="E312" s="1405"/>
      <c r="F312" s="1405"/>
      <c r="G312" s="1405"/>
      <c r="H312" s="1405"/>
      <c r="I312" s="1405"/>
      <c r="J312" s="1405"/>
      <c r="K312" s="1405"/>
      <c r="L312" s="1405"/>
      <c r="M312" s="1405"/>
      <c r="S312" s="1731"/>
    </row>
    <row r="313" spans="1:19" x14ac:dyDescent="0.2">
      <c r="A313" s="1402"/>
      <c r="B313" s="1405"/>
      <c r="C313" s="1407"/>
      <c r="D313" s="1405"/>
      <c r="E313" s="1405"/>
      <c r="F313" s="1405"/>
      <c r="G313" s="1405"/>
      <c r="H313" s="1405"/>
      <c r="I313" s="1405"/>
      <c r="J313" s="1405"/>
      <c r="K313" s="1405"/>
      <c r="L313" s="1405"/>
      <c r="M313" s="1405"/>
      <c r="S313" s="1731"/>
    </row>
    <row r="314" spans="1:19" x14ac:dyDescent="0.2">
      <c r="A314" s="1402"/>
      <c r="B314" s="1405"/>
      <c r="C314" s="1407"/>
      <c r="D314" s="1405"/>
      <c r="E314" s="1405"/>
      <c r="F314" s="1405"/>
      <c r="G314" s="1405"/>
      <c r="H314" s="1405"/>
      <c r="I314" s="1405"/>
      <c r="J314" s="1405"/>
      <c r="K314" s="1405"/>
      <c r="L314" s="1405"/>
      <c r="M314" s="1405"/>
      <c r="S314" s="1731"/>
    </row>
    <row r="315" spans="1:19" x14ac:dyDescent="0.2">
      <c r="A315" s="1402"/>
      <c r="B315" s="1405"/>
      <c r="C315" s="1407"/>
      <c r="D315" s="1405"/>
      <c r="E315" s="1405"/>
      <c r="F315" s="1405"/>
      <c r="G315" s="1405"/>
      <c r="H315" s="1405"/>
      <c r="I315" s="1405"/>
      <c r="J315" s="1405"/>
      <c r="K315" s="1405"/>
      <c r="L315" s="1405"/>
      <c r="M315" s="1405"/>
      <c r="S315" s="1731"/>
    </row>
    <row r="316" spans="1:19" x14ac:dyDescent="0.2">
      <c r="A316" s="1402"/>
      <c r="B316" s="1405"/>
      <c r="C316" s="1407"/>
      <c r="D316" s="1405"/>
      <c r="E316" s="1405"/>
      <c r="F316" s="1405"/>
      <c r="G316" s="1405"/>
      <c r="H316" s="1405"/>
      <c r="I316" s="1405"/>
      <c r="J316" s="1405"/>
      <c r="K316" s="1405"/>
      <c r="L316" s="1405"/>
      <c r="M316" s="1405"/>
      <c r="S316" s="1731"/>
    </row>
    <row r="317" spans="1:19" x14ac:dyDescent="0.2">
      <c r="A317" s="1402"/>
      <c r="B317" s="1405"/>
      <c r="C317" s="1407"/>
      <c r="D317" s="1405"/>
      <c r="E317" s="1405"/>
      <c r="F317" s="1405"/>
      <c r="G317" s="1405"/>
      <c r="H317" s="1405"/>
      <c r="I317" s="1405"/>
      <c r="J317" s="1405"/>
      <c r="K317" s="1405"/>
      <c r="L317" s="1405"/>
      <c r="M317" s="1405"/>
      <c r="S317" s="1731"/>
    </row>
    <row r="318" spans="1:19" x14ac:dyDescent="0.2">
      <c r="A318" s="1402"/>
      <c r="B318" s="1405"/>
      <c r="C318" s="1407"/>
      <c r="D318" s="1405"/>
      <c r="E318" s="1405"/>
      <c r="F318" s="1405"/>
      <c r="G318" s="1405"/>
      <c r="H318" s="1405"/>
      <c r="I318" s="1405"/>
      <c r="J318" s="1405"/>
      <c r="K318" s="1405"/>
      <c r="L318" s="1405"/>
      <c r="M318" s="1405"/>
      <c r="S318" s="1731"/>
    </row>
    <row r="319" spans="1:19" x14ac:dyDescent="0.2">
      <c r="A319" s="1402"/>
      <c r="B319" s="1405"/>
      <c r="C319" s="1407"/>
      <c r="D319" s="1405"/>
      <c r="E319" s="1405"/>
      <c r="F319" s="1405"/>
      <c r="G319" s="1405"/>
      <c r="H319" s="1405"/>
      <c r="I319" s="1405"/>
      <c r="J319" s="1405"/>
      <c r="K319" s="1405"/>
      <c r="L319" s="1405"/>
      <c r="M319" s="1405"/>
      <c r="S319" s="1731"/>
    </row>
    <row r="320" spans="1:19" x14ac:dyDescent="0.2">
      <c r="A320" s="1402"/>
      <c r="B320" s="1405"/>
      <c r="C320" s="1407"/>
      <c r="D320" s="1405"/>
      <c r="E320" s="1405"/>
      <c r="F320" s="1405"/>
      <c r="G320" s="1405"/>
      <c r="H320" s="1405"/>
      <c r="I320" s="1405"/>
      <c r="J320" s="1405"/>
      <c r="K320" s="1405"/>
      <c r="L320" s="1405"/>
      <c r="M320" s="1405"/>
      <c r="S320" s="1731"/>
    </row>
    <row r="321" spans="1:19" x14ac:dyDescent="0.2">
      <c r="A321" s="1402"/>
      <c r="B321" s="1405"/>
      <c r="C321" s="1407"/>
      <c r="D321" s="1405"/>
      <c r="E321" s="1405"/>
      <c r="F321" s="1405"/>
      <c r="G321" s="1405"/>
      <c r="H321" s="1405"/>
      <c r="I321" s="1405"/>
      <c r="J321" s="1405"/>
      <c r="K321" s="1405"/>
      <c r="L321" s="1405"/>
      <c r="M321" s="1405"/>
      <c r="S321" s="1731"/>
    </row>
    <row r="322" spans="1:19" x14ac:dyDescent="0.2">
      <c r="A322" s="1402"/>
      <c r="B322" s="1405"/>
      <c r="C322" s="1407"/>
      <c r="D322" s="1405"/>
      <c r="E322" s="1405"/>
      <c r="F322" s="1405"/>
      <c r="G322" s="1405"/>
      <c r="H322" s="1405"/>
      <c r="I322" s="1405"/>
      <c r="J322" s="1405"/>
      <c r="K322" s="1405"/>
      <c r="L322" s="1405"/>
      <c r="M322" s="1405"/>
      <c r="S322" s="1731"/>
    </row>
    <row r="323" spans="1:19" x14ac:dyDescent="0.2">
      <c r="A323" s="1402"/>
      <c r="B323" s="1405"/>
      <c r="C323" s="1407"/>
      <c r="D323" s="1405"/>
      <c r="E323" s="1405"/>
      <c r="F323" s="1405"/>
      <c r="G323" s="1405"/>
      <c r="H323" s="1405"/>
      <c r="I323" s="1405"/>
      <c r="J323" s="1405"/>
      <c r="K323" s="1405"/>
      <c r="L323" s="1405"/>
      <c r="M323" s="1405"/>
      <c r="S323" s="1731"/>
    </row>
    <row r="324" spans="1:19" x14ac:dyDescent="0.2">
      <c r="A324" s="1402"/>
      <c r="B324" s="1405"/>
      <c r="C324" s="1407"/>
      <c r="D324" s="1405"/>
      <c r="E324" s="1405"/>
      <c r="F324" s="1405"/>
      <c r="G324" s="1405"/>
      <c r="H324" s="1405"/>
      <c r="I324" s="1405"/>
      <c r="J324" s="1405"/>
      <c r="K324" s="1405"/>
      <c r="L324" s="1405"/>
      <c r="M324" s="1405"/>
      <c r="S324" s="1731"/>
    </row>
    <row r="325" spans="1:19" x14ac:dyDescent="0.2">
      <c r="A325" s="1402"/>
      <c r="B325" s="1405"/>
      <c r="C325" s="1407"/>
      <c r="D325" s="1405"/>
      <c r="E325" s="1405"/>
      <c r="F325" s="1405"/>
      <c r="G325" s="1405"/>
      <c r="H325" s="1405"/>
      <c r="I325" s="1405"/>
      <c r="J325" s="1405"/>
      <c r="K325" s="1405"/>
      <c r="L325" s="1405"/>
      <c r="M325" s="1405"/>
      <c r="S325" s="1731"/>
    </row>
    <row r="326" spans="1:19" x14ac:dyDescent="0.2">
      <c r="A326" s="1402"/>
      <c r="B326" s="1405"/>
      <c r="C326" s="1407"/>
      <c r="D326" s="1405"/>
      <c r="E326" s="1405"/>
      <c r="F326" s="1405"/>
      <c r="G326" s="1405"/>
      <c r="H326" s="1405"/>
      <c r="I326" s="1405"/>
      <c r="J326" s="1405"/>
      <c r="K326" s="1405"/>
      <c r="L326" s="1405"/>
      <c r="M326" s="1405"/>
      <c r="S326" s="1731"/>
    </row>
    <row r="327" spans="1:19" x14ac:dyDescent="0.2">
      <c r="A327" s="1402"/>
      <c r="B327" s="1405"/>
      <c r="C327" s="1407"/>
      <c r="D327" s="1405"/>
      <c r="E327" s="1405"/>
      <c r="F327" s="1405"/>
      <c r="G327" s="1405"/>
      <c r="H327" s="1405"/>
      <c r="I327" s="1405"/>
      <c r="J327" s="1405"/>
      <c r="K327" s="1405"/>
      <c r="L327" s="1405"/>
      <c r="M327" s="1405"/>
      <c r="S327" s="1731"/>
    </row>
    <row r="328" spans="1:19" x14ac:dyDescent="0.2">
      <c r="A328" s="1402"/>
      <c r="B328" s="1405"/>
      <c r="C328" s="1407"/>
      <c r="D328" s="1405"/>
      <c r="E328" s="1405"/>
      <c r="F328" s="1405"/>
      <c r="G328" s="1405"/>
      <c r="H328" s="1405"/>
      <c r="I328" s="1405"/>
      <c r="J328" s="1405"/>
      <c r="K328" s="1405"/>
      <c r="L328" s="1405"/>
      <c r="M328" s="1405"/>
      <c r="S328" s="1731"/>
    </row>
    <row r="329" spans="1:19" x14ac:dyDescent="0.2">
      <c r="A329" s="1402"/>
      <c r="B329" s="1405"/>
      <c r="C329" s="1407"/>
      <c r="D329" s="1405"/>
      <c r="E329" s="1405"/>
      <c r="F329" s="1405"/>
      <c r="G329" s="1405"/>
      <c r="H329" s="1405"/>
      <c r="I329" s="1405"/>
      <c r="J329" s="1405"/>
      <c r="K329" s="1405"/>
      <c r="L329" s="1405"/>
      <c r="M329" s="1405"/>
      <c r="S329" s="1731"/>
    </row>
    <row r="330" spans="1:19" x14ac:dyDescent="0.2">
      <c r="A330" s="1402"/>
      <c r="B330" s="1405"/>
      <c r="C330" s="1407"/>
      <c r="D330" s="1405"/>
      <c r="E330" s="1405"/>
      <c r="F330" s="1405"/>
      <c r="G330" s="1405"/>
      <c r="H330" s="1405"/>
      <c r="I330" s="1405"/>
      <c r="J330" s="1405"/>
      <c r="K330" s="1405"/>
      <c r="L330" s="1405"/>
      <c r="M330" s="1405"/>
      <c r="S330" s="1731"/>
    </row>
    <row r="331" spans="1:19" x14ac:dyDescent="0.2">
      <c r="A331" s="1402"/>
      <c r="B331" s="1405"/>
      <c r="C331" s="1407"/>
      <c r="D331" s="1405"/>
      <c r="E331" s="1405"/>
      <c r="F331" s="1405"/>
      <c r="G331" s="1405"/>
      <c r="H331" s="1405"/>
      <c r="I331" s="1405"/>
      <c r="J331" s="1405"/>
      <c r="K331" s="1405"/>
      <c r="L331" s="1405"/>
      <c r="M331" s="1405"/>
      <c r="S331" s="1731"/>
    </row>
    <row r="332" spans="1:19" x14ac:dyDescent="0.2">
      <c r="A332" s="1402"/>
      <c r="B332" s="1405"/>
      <c r="C332" s="1407"/>
      <c r="D332" s="1405"/>
      <c r="E332" s="1405"/>
      <c r="F332" s="1405"/>
      <c r="G332" s="1405"/>
      <c r="H332" s="1405"/>
      <c r="I332" s="1405"/>
      <c r="J332" s="1405"/>
      <c r="K332" s="1405"/>
      <c r="L332" s="1405"/>
      <c r="M332" s="1405"/>
      <c r="S332" s="1731"/>
    </row>
    <row r="333" spans="1:19" x14ac:dyDescent="0.2">
      <c r="A333" s="1402"/>
      <c r="B333" s="1405"/>
      <c r="C333" s="1407"/>
      <c r="D333" s="1405"/>
      <c r="E333" s="1405"/>
      <c r="F333" s="1405"/>
      <c r="G333" s="1405"/>
      <c r="H333" s="1405"/>
      <c r="I333" s="1405"/>
      <c r="J333" s="1405"/>
      <c r="K333" s="1405"/>
      <c r="L333" s="1405"/>
      <c r="M333" s="1405"/>
      <c r="S333" s="1731"/>
    </row>
    <row r="334" spans="1:19" x14ac:dyDescent="0.2">
      <c r="A334" s="1402"/>
      <c r="B334" s="1405"/>
      <c r="C334" s="1407"/>
      <c r="D334" s="1405"/>
      <c r="E334" s="1405"/>
      <c r="F334" s="1405"/>
      <c r="G334" s="1405"/>
      <c r="H334" s="1405"/>
      <c r="I334" s="1405"/>
      <c r="J334" s="1405"/>
      <c r="K334" s="1405"/>
      <c r="L334" s="1405"/>
      <c r="M334" s="1405"/>
      <c r="S334" s="1731"/>
    </row>
    <row r="335" spans="1:19" x14ac:dyDescent="0.2">
      <c r="A335" s="1402"/>
      <c r="B335" s="1405"/>
      <c r="C335" s="1407"/>
      <c r="D335" s="1405"/>
      <c r="E335" s="1405"/>
      <c r="F335" s="1405"/>
      <c r="G335" s="1405"/>
      <c r="H335" s="1405"/>
      <c r="I335" s="1405"/>
      <c r="J335" s="1405"/>
      <c r="K335" s="1405"/>
      <c r="L335" s="1405"/>
      <c r="M335" s="1405"/>
      <c r="S335" s="1731"/>
    </row>
    <row r="336" spans="1:19" x14ac:dyDescent="0.2">
      <c r="A336" s="1402"/>
      <c r="B336" s="1405"/>
      <c r="C336" s="1407"/>
      <c r="D336" s="1405"/>
      <c r="E336" s="1405"/>
      <c r="F336" s="1405"/>
      <c r="G336" s="1405"/>
      <c r="H336" s="1405"/>
      <c r="I336" s="1405"/>
      <c r="J336" s="1405"/>
      <c r="K336" s="1405"/>
      <c r="L336" s="1405"/>
      <c r="M336" s="1405"/>
      <c r="S336" s="1731"/>
    </row>
    <row r="337" spans="1:19" x14ac:dyDescent="0.2">
      <c r="A337" s="1402"/>
      <c r="B337" s="1405"/>
      <c r="C337" s="1407"/>
      <c r="D337" s="1405"/>
      <c r="E337" s="1405"/>
      <c r="F337" s="1405"/>
      <c r="G337" s="1405"/>
      <c r="H337" s="1405"/>
      <c r="I337" s="1405"/>
      <c r="J337" s="1405"/>
      <c r="K337" s="1405"/>
      <c r="L337" s="1405"/>
      <c r="M337" s="1405"/>
      <c r="S337" s="1731"/>
    </row>
    <row r="338" spans="1:19" x14ac:dyDescent="0.2">
      <c r="A338" s="1402"/>
      <c r="B338" s="1405"/>
      <c r="C338" s="1407"/>
      <c r="D338" s="1405"/>
      <c r="E338" s="1405"/>
      <c r="F338" s="1405"/>
      <c r="G338" s="1405"/>
      <c r="H338" s="1405"/>
      <c r="I338" s="1405"/>
      <c r="J338" s="1405"/>
      <c r="K338" s="1405"/>
      <c r="L338" s="1405"/>
      <c r="M338" s="1405"/>
      <c r="S338" s="1731"/>
    </row>
    <row r="339" spans="1:19" x14ac:dyDescent="0.2">
      <c r="A339" s="1402"/>
      <c r="B339" s="1405"/>
      <c r="C339" s="1407"/>
      <c r="D339" s="1405"/>
      <c r="E339" s="1405"/>
      <c r="F339" s="1405"/>
      <c r="G339" s="1405"/>
      <c r="H339" s="1405"/>
      <c r="I339" s="1405"/>
      <c r="J339" s="1405"/>
      <c r="K339" s="1405"/>
      <c r="L339" s="1405"/>
      <c r="M339" s="1405"/>
      <c r="S339" s="1731"/>
    </row>
    <row r="340" spans="1:19" x14ac:dyDescent="0.2">
      <c r="A340" s="1402"/>
      <c r="B340" s="1405"/>
      <c r="C340" s="1407"/>
      <c r="D340" s="1405"/>
      <c r="E340" s="1405"/>
      <c r="F340" s="1405"/>
      <c r="G340" s="1405"/>
      <c r="H340" s="1405"/>
      <c r="I340" s="1405"/>
      <c r="J340" s="1405"/>
      <c r="K340" s="1405"/>
      <c r="L340" s="1405"/>
      <c r="M340" s="1405"/>
      <c r="S340" s="1731"/>
    </row>
    <row r="341" spans="1:19" x14ac:dyDescent="0.2">
      <c r="A341" s="1402"/>
      <c r="B341" s="1405"/>
      <c r="C341" s="1407"/>
      <c r="D341" s="1405"/>
      <c r="E341" s="1405"/>
      <c r="F341" s="1405"/>
      <c r="G341" s="1405"/>
      <c r="H341" s="1405"/>
      <c r="I341" s="1405"/>
      <c r="J341" s="1405"/>
      <c r="K341" s="1405"/>
      <c r="L341" s="1405"/>
      <c r="M341" s="1405"/>
      <c r="S341" s="1731"/>
    </row>
    <row r="342" spans="1:19" x14ac:dyDescent="0.2">
      <c r="A342" s="1402"/>
      <c r="B342" s="1405"/>
      <c r="C342" s="1407"/>
      <c r="D342" s="1405"/>
      <c r="E342" s="1405"/>
      <c r="F342" s="1405"/>
      <c r="G342" s="1405"/>
      <c r="H342" s="1405"/>
      <c r="I342" s="1405"/>
      <c r="J342" s="1405"/>
      <c r="K342" s="1405"/>
      <c r="L342" s="1405"/>
      <c r="M342" s="1405"/>
      <c r="S342" s="1731"/>
    </row>
    <row r="343" spans="1:19" x14ac:dyDescent="0.2">
      <c r="A343" s="1402"/>
      <c r="B343" s="1405"/>
      <c r="C343" s="1407"/>
      <c r="D343" s="1405"/>
      <c r="E343" s="1405"/>
      <c r="F343" s="1405"/>
      <c r="G343" s="1405"/>
      <c r="H343" s="1405"/>
      <c r="I343" s="1405"/>
      <c r="J343" s="1405"/>
      <c r="K343" s="1405"/>
      <c r="L343" s="1405"/>
      <c r="M343" s="1405"/>
      <c r="S343" s="1731"/>
    </row>
    <row r="344" spans="1:19" x14ac:dyDescent="0.2">
      <c r="A344" s="1402"/>
      <c r="B344" s="1405"/>
      <c r="C344" s="1407"/>
      <c r="D344" s="1405"/>
      <c r="E344" s="1405"/>
      <c r="F344" s="1405"/>
      <c r="G344" s="1405"/>
      <c r="H344" s="1405"/>
      <c r="I344" s="1405"/>
      <c r="J344" s="1405"/>
      <c r="K344" s="1405"/>
      <c r="L344" s="1405"/>
      <c r="M344" s="1405"/>
      <c r="S344" s="1731"/>
    </row>
    <row r="345" spans="1:19" x14ac:dyDescent="0.2">
      <c r="A345" s="1402"/>
      <c r="B345" s="1405"/>
      <c r="C345" s="1407"/>
      <c r="D345" s="1405"/>
      <c r="E345" s="1405"/>
      <c r="F345" s="1405"/>
      <c r="G345" s="1405"/>
      <c r="H345" s="1405"/>
      <c r="I345" s="1405"/>
      <c r="J345" s="1405"/>
      <c r="K345" s="1405"/>
      <c r="L345" s="1405"/>
      <c r="M345" s="1405"/>
      <c r="S345" s="1731"/>
    </row>
    <row r="346" spans="1:19" x14ac:dyDescent="0.2">
      <c r="A346" s="1402"/>
      <c r="B346" s="1405"/>
      <c r="C346" s="1407"/>
      <c r="D346" s="1405"/>
      <c r="E346" s="1405"/>
      <c r="F346" s="1405"/>
      <c r="G346" s="1405"/>
      <c r="H346" s="1405"/>
      <c r="I346" s="1405"/>
      <c r="J346" s="1405"/>
      <c r="K346" s="1405"/>
      <c r="L346" s="1405"/>
      <c r="M346" s="1405"/>
      <c r="S346" s="1731"/>
    </row>
    <row r="347" spans="1:19" x14ac:dyDescent="0.2">
      <c r="A347" s="1402"/>
      <c r="B347" s="1405"/>
      <c r="C347" s="1407"/>
      <c r="D347" s="1405"/>
      <c r="E347" s="1405"/>
      <c r="F347" s="1405"/>
      <c r="G347" s="1405"/>
      <c r="H347" s="1405"/>
      <c r="I347" s="1405"/>
      <c r="J347" s="1405"/>
      <c r="K347" s="1405"/>
      <c r="L347" s="1405"/>
      <c r="M347" s="1405"/>
      <c r="S347" s="1731"/>
    </row>
    <row r="348" spans="1:19" x14ac:dyDescent="0.2">
      <c r="A348" s="1402"/>
      <c r="B348" s="1405"/>
      <c r="C348" s="1407"/>
      <c r="D348" s="1405"/>
      <c r="E348" s="1405"/>
      <c r="F348" s="1405"/>
      <c r="G348" s="1405"/>
      <c r="H348" s="1405"/>
      <c r="I348" s="1405"/>
      <c r="J348" s="1405"/>
      <c r="K348" s="1405"/>
      <c r="L348" s="1405"/>
      <c r="M348" s="1405"/>
      <c r="S348" s="1731"/>
    </row>
    <row r="349" spans="1:19" x14ac:dyDescent="0.2">
      <c r="A349" s="1402"/>
      <c r="B349" s="1405"/>
      <c r="C349" s="1407"/>
      <c r="D349" s="1405"/>
      <c r="E349" s="1405"/>
      <c r="F349" s="1405"/>
      <c r="G349" s="1405"/>
      <c r="H349" s="1405"/>
      <c r="I349" s="1405"/>
      <c r="J349" s="1405"/>
      <c r="K349" s="1405"/>
      <c r="L349" s="1405"/>
      <c r="M349" s="1405"/>
      <c r="S349" s="1731"/>
    </row>
    <row r="350" spans="1:19" x14ac:dyDescent="0.2">
      <c r="A350" s="1402"/>
      <c r="B350" s="1405"/>
      <c r="C350" s="1407"/>
      <c r="D350" s="1405"/>
      <c r="E350" s="1405"/>
      <c r="F350" s="1405"/>
      <c r="G350" s="1405"/>
      <c r="H350" s="1405"/>
      <c r="I350" s="1405"/>
      <c r="J350" s="1405"/>
      <c r="K350" s="1405"/>
      <c r="L350" s="1405"/>
      <c r="M350" s="1405"/>
      <c r="S350" s="1731"/>
    </row>
    <row r="351" spans="1:19" x14ac:dyDescent="0.2">
      <c r="A351" s="1402"/>
      <c r="B351" s="1405"/>
      <c r="C351" s="1407"/>
      <c r="D351" s="1405"/>
      <c r="E351" s="1405"/>
      <c r="F351" s="1405"/>
      <c r="G351" s="1405"/>
      <c r="H351" s="1405"/>
      <c r="I351" s="1405"/>
      <c r="J351" s="1405"/>
      <c r="K351" s="1405"/>
      <c r="L351" s="1405"/>
      <c r="M351" s="1405"/>
      <c r="S351" s="1731"/>
    </row>
    <row r="352" spans="1:19" x14ac:dyDescent="0.2">
      <c r="A352" s="1402"/>
      <c r="B352" s="1405"/>
      <c r="C352" s="1407"/>
      <c r="D352" s="1405"/>
      <c r="E352" s="1405"/>
      <c r="F352" s="1405"/>
      <c r="G352" s="1405"/>
      <c r="H352" s="1405"/>
      <c r="I352" s="1405"/>
      <c r="J352" s="1405"/>
      <c r="K352" s="1405"/>
      <c r="L352" s="1405"/>
      <c r="M352" s="1405"/>
      <c r="S352" s="1731"/>
    </row>
    <row r="353" spans="1:19" x14ac:dyDescent="0.2">
      <c r="A353" s="1402"/>
      <c r="B353" s="1405"/>
      <c r="C353" s="1407"/>
      <c r="D353" s="1405"/>
      <c r="E353" s="1405"/>
      <c r="F353" s="1405"/>
      <c r="G353" s="1405"/>
      <c r="H353" s="1405"/>
      <c r="I353" s="1405"/>
      <c r="J353" s="1405"/>
      <c r="K353" s="1405"/>
      <c r="L353" s="1405"/>
      <c r="M353" s="1405"/>
      <c r="S353" s="1731"/>
    </row>
    <row r="354" spans="1:19" x14ac:dyDescent="0.2">
      <c r="A354" s="1402"/>
      <c r="B354" s="1405"/>
      <c r="C354" s="1407"/>
      <c r="D354" s="1405"/>
      <c r="E354" s="1405"/>
      <c r="F354" s="1405"/>
      <c r="G354" s="1405"/>
      <c r="H354" s="1405"/>
      <c r="I354" s="1405"/>
      <c r="J354" s="1405"/>
      <c r="K354" s="1405"/>
      <c r="L354" s="1405"/>
      <c r="M354" s="1405"/>
      <c r="S354" s="1731"/>
    </row>
    <row r="355" spans="1:19" x14ac:dyDescent="0.2">
      <c r="A355" s="1402"/>
      <c r="B355" s="1405"/>
      <c r="C355" s="1407"/>
      <c r="D355" s="1405"/>
      <c r="E355" s="1405"/>
      <c r="F355" s="1405"/>
      <c r="G355" s="1405"/>
      <c r="H355" s="1405"/>
      <c r="I355" s="1405"/>
      <c r="J355" s="1405"/>
      <c r="K355" s="1405"/>
      <c r="L355" s="1405"/>
      <c r="M355" s="1405"/>
      <c r="S355" s="1731"/>
    </row>
    <row r="356" spans="1:19" x14ac:dyDescent="0.2">
      <c r="A356" s="1402"/>
      <c r="B356" s="1405"/>
      <c r="C356" s="1407"/>
      <c r="D356" s="1405"/>
      <c r="E356" s="1405"/>
      <c r="F356" s="1405"/>
      <c r="G356" s="1405"/>
      <c r="H356" s="1405"/>
      <c r="I356" s="1405"/>
      <c r="J356" s="1405"/>
      <c r="K356" s="1405"/>
      <c r="L356" s="1405"/>
      <c r="M356" s="1405"/>
      <c r="S356" s="1731"/>
    </row>
    <row r="357" spans="1:19" x14ac:dyDescent="0.2">
      <c r="A357" s="1402"/>
      <c r="B357" s="1405"/>
      <c r="C357" s="1407"/>
      <c r="D357" s="1405"/>
      <c r="E357" s="1405"/>
      <c r="F357" s="1405"/>
      <c r="G357" s="1405"/>
      <c r="H357" s="1405"/>
      <c r="I357" s="1405"/>
      <c r="J357" s="1405"/>
      <c r="K357" s="1405"/>
      <c r="L357" s="1405"/>
      <c r="M357" s="1405"/>
      <c r="S357" s="1731"/>
    </row>
    <row r="358" spans="1:19" x14ac:dyDescent="0.2">
      <c r="A358" s="1402"/>
      <c r="B358" s="1405"/>
      <c r="C358" s="1407"/>
      <c r="D358" s="1405"/>
      <c r="E358" s="1405"/>
      <c r="F358" s="1405"/>
      <c r="G358" s="1405"/>
      <c r="H358" s="1405"/>
      <c r="I358" s="1405"/>
      <c r="J358" s="1405"/>
      <c r="K358" s="1405"/>
      <c r="L358" s="1405"/>
      <c r="M358" s="1405"/>
      <c r="S358" s="1731"/>
    </row>
    <row r="359" spans="1:19" x14ac:dyDescent="0.2">
      <c r="A359" s="1402"/>
      <c r="B359" s="1405"/>
      <c r="C359" s="1407"/>
      <c r="D359" s="1405"/>
      <c r="E359" s="1405"/>
      <c r="F359" s="1405"/>
      <c r="G359" s="1405"/>
      <c r="H359" s="1405"/>
      <c r="I359" s="1405"/>
      <c r="J359" s="1405"/>
      <c r="K359" s="1405"/>
      <c r="L359" s="1405"/>
      <c r="M359" s="1405"/>
      <c r="S359" s="1731"/>
    </row>
    <row r="360" spans="1:19" x14ac:dyDescent="0.2">
      <c r="A360" s="1402"/>
      <c r="B360" s="1405"/>
      <c r="C360" s="1407"/>
      <c r="D360" s="1405"/>
      <c r="E360" s="1405"/>
      <c r="F360" s="1405"/>
      <c r="G360" s="1405"/>
      <c r="H360" s="1405"/>
      <c r="I360" s="1405"/>
      <c r="J360" s="1405"/>
      <c r="K360" s="1405"/>
      <c r="L360" s="1405"/>
      <c r="M360" s="1405"/>
      <c r="S360" s="1731"/>
    </row>
    <row r="361" spans="1:19" x14ac:dyDescent="0.2">
      <c r="A361" s="1402"/>
      <c r="B361" s="1405"/>
      <c r="C361" s="1407"/>
      <c r="D361" s="1405"/>
      <c r="E361" s="1405"/>
      <c r="F361" s="1405"/>
      <c r="G361" s="1405"/>
      <c r="H361" s="1405"/>
      <c r="I361" s="1405"/>
      <c r="J361" s="1405"/>
      <c r="K361" s="1405"/>
      <c r="L361" s="1405"/>
      <c r="M361" s="1405"/>
      <c r="S361" s="1731"/>
    </row>
    <row r="362" spans="1:19" x14ac:dyDescent="0.2">
      <c r="A362" s="1402"/>
      <c r="B362" s="1405"/>
      <c r="C362" s="1407"/>
      <c r="D362" s="1405"/>
      <c r="E362" s="1405"/>
      <c r="F362" s="1405"/>
      <c r="G362" s="1405"/>
      <c r="H362" s="1405"/>
      <c r="I362" s="1405"/>
      <c r="J362" s="1405"/>
      <c r="K362" s="1405"/>
      <c r="L362" s="1405"/>
      <c r="M362" s="1405"/>
      <c r="S362" s="1731"/>
    </row>
    <row r="363" spans="1:19" x14ac:dyDescent="0.2">
      <c r="A363" s="1402"/>
      <c r="B363" s="1405"/>
      <c r="C363" s="1407"/>
      <c r="D363" s="1405"/>
      <c r="E363" s="1405"/>
      <c r="F363" s="1405"/>
      <c r="G363" s="1405"/>
      <c r="H363" s="1405"/>
      <c r="I363" s="1405"/>
      <c r="J363" s="1405"/>
      <c r="K363" s="1405"/>
      <c r="L363" s="1405"/>
      <c r="M363" s="1405"/>
      <c r="S363" s="1731"/>
    </row>
    <row r="364" spans="1:19" x14ac:dyDescent="0.2">
      <c r="A364" s="1402"/>
      <c r="B364" s="1405"/>
      <c r="C364" s="1407"/>
      <c r="D364" s="1405"/>
      <c r="E364" s="1405"/>
      <c r="F364" s="1405"/>
      <c r="G364" s="1405"/>
      <c r="H364" s="1405"/>
      <c r="I364" s="1405"/>
      <c r="J364" s="1405"/>
      <c r="K364" s="1405"/>
      <c r="L364" s="1405"/>
      <c r="M364" s="1405"/>
      <c r="S364" s="1731"/>
    </row>
    <row r="365" spans="1:19" x14ac:dyDescent="0.2">
      <c r="A365" s="1402"/>
      <c r="B365" s="1405"/>
      <c r="C365" s="1407"/>
      <c r="D365" s="1405"/>
      <c r="E365" s="1405"/>
      <c r="F365" s="1405"/>
      <c r="G365" s="1405"/>
      <c r="H365" s="1405"/>
      <c r="I365" s="1405"/>
      <c r="J365" s="1405"/>
      <c r="K365" s="1405"/>
      <c r="L365" s="1405"/>
      <c r="M365" s="1405"/>
      <c r="S365" s="1731"/>
    </row>
    <row r="366" spans="1:19" x14ac:dyDescent="0.2">
      <c r="A366" s="1402"/>
      <c r="B366" s="1405"/>
      <c r="C366" s="1407"/>
      <c r="D366" s="1405"/>
      <c r="E366" s="1405"/>
      <c r="F366" s="1405"/>
      <c r="G366" s="1405"/>
      <c r="H366" s="1405"/>
      <c r="I366" s="1405"/>
      <c r="J366" s="1405"/>
      <c r="K366" s="1405"/>
      <c r="L366" s="1405"/>
      <c r="M366" s="1405"/>
      <c r="S366" s="1731"/>
    </row>
    <row r="367" spans="1:19" x14ac:dyDescent="0.2">
      <c r="A367" s="1402"/>
      <c r="B367" s="1405"/>
      <c r="C367" s="1407"/>
      <c r="D367" s="1405"/>
      <c r="E367" s="1405"/>
      <c r="F367" s="1405"/>
      <c r="G367" s="1405"/>
      <c r="H367" s="1405"/>
      <c r="I367" s="1405"/>
      <c r="J367" s="1405"/>
      <c r="K367" s="1405"/>
      <c r="L367" s="1405"/>
      <c r="M367" s="1405"/>
      <c r="S367" s="1731"/>
    </row>
    <row r="368" spans="1:19" x14ac:dyDescent="0.2">
      <c r="A368" s="1402"/>
      <c r="B368" s="1405"/>
      <c r="C368" s="1407"/>
      <c r="D368" s="1405"/>
      <c r="E368" s="1405"/>
      <c r="F368" s="1405"/>
      <c r="G368" s="1405"/>
      <c r="H368" s="1405"/>
      <c r="I368" s="1405"/>
      <c r="J368" s="1405"/>
      <c r="K368" s="1405"/>
      <c r="L368" s="1405"/>
      <c r="M368" s="1405"/>
      <c r="S368" s="1731"/>
    </row>
    <row r="369" spans="1:19" x14ac:dyDescent="0.2">
      <c r="A369" s="1402"/>
      <c r="B369" s="1405"/>
      <c r="C369" s="1407"/>
      <c r="D369" s="1405"/>
      <c r="E369" s="1405"/>
      <c r="F369" s="1405"/>
      <c r="G369" s="1405"/>
      <c r="H369" s="1405"/>
      <c r="I369" s="1405"/>
      <c r="J369" s="1405"/>
      <c r="K369" s="1405"/>
      <c r="L369" s="1405"/>
      <c r="M369" s="1405"/>
      <c r="S369" s="1731"/>
    </row>
    <row r="370" spans="1:19" x14ac:dyDescent="0.2">
      <c r="A370" s="1402"/>
      <c r="B370" s="1405"/>
      <c r="C370" s="1407"/>
      <c r="D370" s="1405"/>
      <c r="E370" s="1405"/>
      <c r="F370" s="1405"/>
      <c r="G370" s="1405"/>
      <c r="H370" s="1405"/>
      <c r="I370" s="1405"/>
      <c r="J370" s="1405"/>
      <c r="K370" s="1405"/>
      <c r="L370" s="1405"/>
      <c r="M370" s="1405"/>
      <c r="S370" s="1731"/>
    </row>
    <row r="371" spans="1:19" x14ac:dyDescent="0.2">
      <c r="A371" s="1402"/>
      <c r="B371" s="1405"/>
      <c r="C371" s="1407"/>
      <c r="D371" s="1405"/>
      <c r="E371" s="1405"/>
      <c r="F371" s="1405"/>
      <c r="G371" s="1405"/>
      <c r="H371" s="1405"/>
      <c r="I371" s="1405"/>
      <c r="J371" s="1405"/>
      <c r="K371" s="1405"/>
      <c r="L371" s="1405"/>
      <c r="M371" s="1405"/>
      <c r="S371" s="1731"/>
    </row>
    <row r="372" spans="1:19" x14ac:dyDescent="0.2">
      <c r="A372" s="1402"/>
      <c r="B372" s="1405"/>
      <c r="C372" s="1407"/>
      <c r="D372" s="1405"/>
      <c r="E372" s="1405"/>
      <c r="F372" s="1405"/>
      <c r="G372" s="1405"/>
      <c r="H372" s="1405"/>
      <c r="I372" s="1405"/>
      <c r="J372" s="1405"/>
      <c r="K372" s="1405"/>
      <c r="L372" s="1405"/>
      <c r="M372" s="1405"/>
      <c r="S372" s="1731"/>
    </row>
    <row r="373" spans="1:19" x14ac:dyDescent="0.2">
      <c r="A373" s="1402"/>
      <c r="B373" s="1405"/>
      <c r="C373" s="1407"/>
      <c r="D373" s="1405"/>
      <c r="E373" s="1405"/>
      <c r="F373" s="1405"/>
      <c r="G373" s="1405"/>
      <c r="H373" s="1405"/>
      <c r="I373" s="1405"/>
      <c r="J373" s="1405"/>
      <c r="K373" s="1405"/>
      <c r="L373" s="1405"/>
      <c r="M373" s="1405"/>
      <c r="S373" s="1731"/>
    </row>
    <row r="374" spans="1:19" x14ac:dyDescent="0.2">
      <c r="A374" s="1402"/>
      <c r="B374" s="1405"/>
      <c r="C374" s="1407"/>
      <c r="D374" s="1405"/>
      <c r="E374" s="1405"/>
      <c r="F374" s="1405"/>
      <c r="G374" s="1405"/>
      <c r="H374" s="1405"/>
      <c r="I374" s="1405"/>
      <c r="J374" s="1405"/>
      <c r="K374" s="1405"/>
      <c r="L374" s="1405"/>
      <c r="M374" s="1405"/>
      <c r="S374" s="1731"/>
    </row>
    <row r="375" spans="1:19" x14ac:dyDescent="0.2">
      <c r="A375" s="1402"/>
      <c r="B375" s="1405"/>
      <c r="C375" s="1407"/>
      <c r="D375" s="1405"/>
      <c r="E375" s="1405"/>
      <c r="F375" s="1405"/>
      <c r="G375" s="1405"/>
      <c r="H375" s="1405"/>
      <c r="I375" s="1405"/>
      <c r="J375" s="1405"/>
      <c r="K375" s="1405"/>
      <c r="L375" s="1405"/>
      <c r="M375" s="1405"/>
      <c r="S375" s="1731"/>
    </row>
    <row r="376" spans="1:19" x14ac:dyDescent="0.2">
      <c r="A376" s="1402"/>
      <c r="B376" s="1405"/>
      <c r="C376" s="1407"/>
      <c r="D376" s="1405"/>
      <c r="E376" s="1405"/>
      <c r="F376" s="1405"/>
      <c r="G376" s="1405"/>
      <c r="H376" s="1405"/>
      <c r="I376" s="1405"/>
      <c r="J376" s="1405"/>
      <c r="K376" s="1405"/>
      <c r="L376" s="1405"/>
      <c r="M376" s="1405"/>
      <c r="S376" s="1731"/>
    </row>
    <row r="377" spans="1:19" x14ac:dyDescent="0.2">
      <c r="A377" s="1402"/>
      <c r="B377" s="1405"/>
      <c r="C377" s="1407"/>
      <c r="D377" s="1405"/>
      <c r="E377" s="1405"/>
      <c r="F377" s="1405"/>
      <c r="G377" s="1405"/>
      <c r="H377" s="1405"/>
      <c r="I377" s="1405"/>
      <c r="J377" s="1405"/>
      <c r="K377" s="1405"/>
      <c r="L377" s="1405"/>
      <c r="M377" s="1405"/>
      <c r="S377" s="1731"/>
    </row>
    <row r="378" spans="1:19" x14ac:dyDescent="0.2">
      <c r="A378" s="1402"/>
      <c r="B378" s="1405"/>
      <c r="C378" s="1407"/>
      <c r="D378" s="1405"/>
      <c r="E378" s="1405"/>
      <c r="F378" s="1405"/>
      <c r="G378" s="1405"/>
      <c r="H378" s="1405"/>
      <c r="I378" s="1405"/>
      <c r="J378" s="1405"/>
      <c r="K378" s="1405"/>
      <c r="L378" s="1405"/>
      <c r="M378" s="1405"/>
      <c r="S378" s="1731"/>
    </row>
    <row r="379" spans="1:19" x14ac:dyDescent="0.2">
      <c r="A379" s="1402"/>
      <c r="B379" s="1405"/>
      <c r="C379" s="1407"/>
      <c r="D379" s="1405"/>
      <c r="E379" s="1405"/>
      <c r="F379" s="1405"/>
      <c r="G379" s="1405"/>
      <c r="H379" s="1405"/>
      <c r="I379" s="1405"/>
      <c r="J379" s="1405"/>
      <c r="K379" s="1405"/>
      <c r="L379" s="1405"/>
      <c r="M379" s="1405"/>
      <c r="S379" s="1731"/>
    </row>
    <row r="380" spans="1:19" x14ac:dyDescent="0.2">
      <c r="A380" s="1402"/>
      <c r="B380" s="1405"/>
      <c r="C380" s="1407"/>
      <c r="D380" s="1405"/>
      <c r="E380" s="1405"/>
      <c r="F380" s="1405"/>
      <c r="G380" s="1405"/>
      <c r="H380" s="1405"/>
      <c r="I380" s="1405"/>
      <c r="J380" s="1405"/>
      <c r="K380" s="1405"/>
      <c r="L380" s="1405"/>
      <c r="M380" s="1405"/>
      <c r="S380" s="1731"/>
    </row>
    <row r="381" spans="1:19" x14ac:dyDescent="0.2">
      <c r="A381" s="1402"/>
      <c r="B381" s="1405"/>
      <c r="C381" s="1407"/>
      <c r="D381" s="1405"/>
      <c r="E381" s="1405"/>
      <c r="F381" s="1405"/>
      <c r="G381" s="1405"/>
      <c r="H381" s="1405"/>
      <c r="I381" s="1405"/>
      <c r="J381" s="1405"/>
      <c r="K381" s="1405"/>
      <c r="L381" s="1405"/>
      <c r="M381" s="1405"/>
      <c r="S381" s="1731"/>
    </row>
    <row r="382" spans="1:19" x14ac:dyDescent="0.2">
      <c r="A382" s="1402"/>
      <c r="B382" s="1405"/>
      <c r="C382" s="1407"/>
      <c r="D382" s="1405"/>
      <c r="E382" s="1405"/>
      <c r="F382" s="1405"/>
      <c r="G382" s="1405"/>
      <c r="H382" s="1405"/>
      <c r="I382" s="1405"/>
      <c r="J382" s="1405"/>
      <c r="K382" s="1405"/>
      <c r="L382" s="1405"/>
      <c r="M382" s="1405"/>
      <c r="S382" s="1731"/>
    </row>
    <row r="383" spans="1:19" x14ac:dyDescent="0.2">
      <c r="A383" s="1402"/>
      <c r="B383" s="1405"/>
      <c r="C383" s="1407"/>
      <c r="D383" s="1405"/>
      <c r="E383" s="1405"/>
      <c r="F383" s="1405"/>
      <c r="G383" s="1405"/>
      <c r="H383" s="1405"/>
      <c r="I383" s="1405"/>
      <c r="J383" s="1405"/>
      <c r="K383" s="1405"/>
      <c r="L383" s="1405"/>
      <c r="M383" s="1405"/>
      <c r="S383" s="1731"/>
    </row>
    <row r="384" spans="1:19" x14ac:dyDescent="0.2">
      <c r="A384" s="1402"/>
      <c r="B384" s="1405"/>
      <c r="C384" s="1407"/>
      <c r="D384" s="1405"/>
      <c r="E384" s="1405"/>
      <c r="F384" s="1405"/>
      <c r="G384" s="1405"/>
      <c r="H384" s="1405"/>
      <c r="I384" s="1405"/>
      <c r="J384" s="1405"/>
      <c r="K384" s="1405"/>
      <c r="L384" s="1405"/>
      <c r="M384" s="1405"/>
      <c r="S384" s="1731"/>
    </row>
    <row r="385" spans="1:19" x14ac:dyDescent="0.2">
      <c r="A385" s="1402"/>
      <c r="B385" s="1405"/>
      <c r="C385" s="1407"/>
      <c r="D385" s="1405"/>
      <c r="E385" s="1405"/>
      <c r="F385" s="1405"/>
      <c r="G385" s="1405"/>
      <c r="H385" s="1405"/>
      <c r="I385" s="1405"/>
      <c r="J385" s="1405"/>
      <c r="K385" s="1405"/>
      <c r="L385" s="1405"/>
      <c r="M385" s="1405"/>
      <c r="S385" s="1731"/>
    </row>
    <row r="386" spans="1:19" x14ac:dyDescent="0.2">
      <c r="A386" s="1402"/>
      <c r="B386" s="1405"/>
      <c r="C386" s="1407"/>
      <c r="D386" s="1405"/>
      <c r="E386" s="1405"/>
      <c r="F386" s="1405"/>
      <c r="G386" s="1405"/>
      <c r="H386" s="1405"/>
      <c r="I386" s="1405"/>
      <c r="J386" s="1405"/>
      <c r="K386" s="1405"/>
      <c r="L386" s="1405"/>
      <c r="M386" s="1405"/>
      <c r="S386" s="1731"/>
    </row>
    <row r="387" spans="1:19" x14ac:dyDescent="0.2">
      <c r="A387" s="1402"/>
      <c r="B387" s="1405"/>
      <c r="C387" s="1407"/>
      <c r="D387" s="1405"/>
      <c r="E387" s="1405"/>
      <c r="F387" s="1405"/>
      <c r="G387" s="1405"/>
      <c r="H387" s="1405"/>
      <c r="I387" s="1405"/>
      <c r="J387" s="1405"/>
      <c r="K387" s="1405"/>
      <c r="L387" s="1405"/>
      <c r="M387" s="1405"/>
      <c r="S387" s="1731"/>
    </row>
    <row r="388" spans="1:19" x14ac:dyDescent="0.2">
      <c r="A388" s="1402"/>
      <c r="B388" s="1405"/>
      <c r="C388" s="1407"/>
      <c r="D388" s="1405"/>
      <c r="E388" s="1405"/>
      <c r="F388" s="1405"/>
      <c r="G388" s="1405"/>
      <c r="H388" s="1405"/>
      <c r="I388" s="1405"/>
      <c r="J388" s="1405"/>
      <c r="K388" s="1405"/>
      <c r="L388" s="1405"/>
      <c r="M388" s="1405"/>
      <c r="S388" s="1731"/>
    </row>
    <row r="389" spans="1:19" x14ac:dyDescent="0.2">
      <c r="A389" s="1402"/>
      <c r="B389" s="1405"/>
      <c r="C389" s="1407"/>
      <c r="D389" s="1405"/>
      <c r="E389" s="1405"/>
      <c r="F389" s="1405"/>
      <c r="G389" s="1405"/>
      <c r="H389" s="1405"/>
      <c r="I389" s="1405"/>
      <c r="J389" s="1405"/>
      <c r="K389" s="1405"/>
      <c r="L389" s="1405"/>
      <c r="M389" s="1405"/>
      <c r="S389" s="1731"/>
    </row>
    <row r="390" spans="1:19" x14ac:dyDescent="0.2">
      <c r="A390" s="1402"/>
      <c r="B390" s="1405"/>
      <c r="C390" s="1407"/>
      <c r="D390" s="1405"/>
      <c r="E390" s="1405"/>
      <c r="F390" s="1405"/>
      <c r="G390" s="1405"/>
      <c r="H390" s="1405"/>
      <c r="I390" s="1405"/>
      <c r="J390" s="1405"/>
      <c r="K390" s="1405"/>
      <c r="L390" s="1405"/>
      <c r="M390" s="1405"/>
      <c r="S390" s="1731"/>
    </row>
    <row r="391" spans="1:19" x14ac:dyDescent="0.2">
      <c r="A391" s="1402"/>
      <c r="B391" s="1405"/>
      <c r="C391" s="1407"/>
      <c r="D391" s="1405"/>
      <c r="E391" s="1405"/>
      <c r="F391" s="1405"/>
      <c r="G391" s="1405"/>
      <c r="H391" s="1405"/>
      <c r="I391" s="1405"/>
      <c r="J391" s="1405"/>
      <c r="K391" s="1405"/>
      <c r="L391" s="1405"/>
      <c r="M391" s="1405"/>
      <c r="S391" s="1731"/>
    </row>
    <row r="392" spans="1:19" x14ac:dyDescent="0.2">
      <c r="A392" s="1402"/>
      <c r="B392" s="1405"/>
      <c r="C392" s="1407"/>
      <c r="D392" s="1405"/>
      <c r="E392" s="1405"/>
      <c r="F392" s="1405"/>
      <c r="G392" s="1405"/>
      <c r="H392" s="1405"/>
      <c r="I392" s="1405"/>
      <c r="J392" s="1405"/>
      <c r="K392" s="1405"/>
      <c r="L392" s="1405"/>
      <c r="M392" s="1405"/>
      <c r="S392" s="1731"/>
    </row>
    <row r="393" spans="1:19" x14ac:dyDescent="0.2">
      <c r="A393" s="1402"/>
      <c r="B393" s="1405"/>
      <c r="C393" s="1407"/>
      <c r="D393" s="1405"/>
      <c r="E393" s="1405"/>
      <c r="F393" s="1405"/>
      <c r="G393" s="1405"/>
      <c r="H393" s="1405"/>
      <c r="I393" s="1405"/>
      <c r="J393" s="1405"/>
      <c r="K393" s="1405"/>
      <c r="L393" s="1405"/>
      <c r="M393" s="1405"/>
      <c r="S393" s="1731"/>
    </row>
    <row r="394" spans="1:19" x14ac:dyDescent="0.2">
      <c r="A394" s="1402"/>
      <c r="B394" s="1405"/>
      <c r="C394" s="1407"/>
      <c r="D394" s="1405"/>
      <c r="E394" s="1405"/>
      <c r="F394" s="1405"/>
      <c r="G394" s="1405"/>
      <c r="H394" s="1405"/>
      <c r="I394" s="1405"/>
      <c r="J394" s="1405"/>
      <c r="K394" s="1405"/>
      <c r="L394" s="1405"/>
      <c r="M394" s="1405"/>
      <c r="S394" s="1731"/>
    </row>
    <row r="395" spans="1:19" x14ac:dyDescent="0.2">
      <c r="A395" s="1402"/>
      <c r="B395" s="1405"/>
      <c r="C395" s="1407"/>
      <c r="D395" s="1405"/>
      <c r="E395" s="1405"/>
      <c r="F395" s="1405"/>
      <c r="G395" s="1405"/>
      <c r="H395" s="1405"/>
      <c r="I395" s="1405"/>
      <c r="J395" s="1405"/>
      <c r="K395" s="1405"/>
      <c r="L395" s="1405"/>
      <c r="M395" s="1405"/>
      <c r="S395" s="1731"/>
    </row>
    <row r="396" spans="1:19" x14ac:dyDescent="0.2">
      <c r="A396" s="1402"/>
      <c r="B396" s="1405"/>
      <c r="C396" s="1407"/>
      <c r="D396" s="1405"/>
      <c r="E396" s="1405"/>
      <c r="F396" s="1405"/>
      <c r="G396" s="1405"/>
      <c r="H396" s="1405"/>
      <c r="I396" s="1405"/>
      <c r="J396" s="1405"/>
      <c r="K396" s="1405"/>
      <c r="L396" s="1405"/>
      <c r="M396" s="1405"/>
      <c r="S396" s="1731"/>
    </row>
    <row r="397" spans="1:19" x14ac:dyDescent="0.2">
      <c r="A397" s="1402"/>
      <c r="B397" s="1405"/>
      <c r="C397" s="1407"/>
      <c r="D397" s="1405"/>
      <c r="E397" s="1405"/>
      <c r="F397" s="1405"/>
      <c r="G397" s="1405"/>
      <c r="H397" s="1405"/>
      <c r="I397" s="1405"/>
      <c r="J397" s="1405"/>
      <c r="K397" s="1405"/>
      <c r="L397" s="1405"/>
      <c r="M397" s="1405"/>
      <c r="S397" s="1731"/>
    </row>
    <row r="398" spans="1:19" x14ac:dyDescent="0.2">
      <c r="A398" s="1402"/>
      <c r="B398" s="1405"/>
      <c r="C398" s="1407"/>
      <c r="D398" s="1405"/>
      <c r="E398" s="1405"/>
      <c r="F398" s="1405"/>
      <c r="G398" s="1405"/>
      <c r="H398" s="1405"/>
      <c r="I398" s="1405"/>
      <c r="J398" s="1405"/>
      <c r="K398" s="1405"/>
      <c r="L398" s="1405"/>
      <c r="M398" s="1405"/>
      <c r="S398" s="1731"/>
    </row>
    <row r="399" spans="1:19" x14ac:dyDescent="0.2">
      <c r="A399" s="1402"/>
      <c r="B399" s="1405"/>
      <c r="C399" s="1407"/>
      <c r="D399" s="1405"/>
      <c r="E399" s="1405"/>
      <c r="F399" s="1405"/>
      <c r="G399" s="1405"/>
      <c r="H399" s="1405"/>
      <c r="I399" s="1405"/>
      <c r="J399" s="1405"/>
      <c r="K399" s="1405"/>
      <c r="L399" s="1405"/>
      <c r="M399" s="1405"/>
      <c r="S399" s="1731"/>
    </row>
    <row r="400" spans="1:19" x14ac:dyDescent="0.2">
      <c r="A400" s="1402"/>
      <c r="B400" s="1405"/>
      <c r="C400" s="1407"/>
      <c r="D400" s="1405"/>
      <c r="E400" s="1405"/>
      <c r="F400" s="1405"/>
      <c r="G400" s="1405"/>
      <c r="H400" s="1405"/>
      <c r="I400" s="1405"/>
      <c r="J400" s="1405"/>
      <c r="K400" s="1405"/>
      <c r="L400" s="1405"/>
      <c r="M400" s="1405"/>
      <c r="S400" s="1731"/>
    </row>
    <row r="401" spans="1:19" x14ac:dyDescent="0.2">
      <c r="A401" s="1402"/>
      <c r="B401" s="1405"/>
      <c r="C401" s="1407"/>
      <c r="D401" s="1405"/>
      <c r="E401" s="1405"/>
      <c r="F401" s="1405"/>
      <c r="G401" s="1405"/>
      <c r="H401" s="1405"/>
      <c r="I401" s="1405"/>
      <c r="J401" s="1405"/>
      <c r="K401" s="1405"/>
      <c r="L401" s="1405"/>
      <c r="M401" s="1405"/>
      <c r="S401" s="1731"/>
    </row>
    <row r="402" spans="1:19" x14ac:dyDescent="0.2">
      <c r="A402" s="1402"/>
      <c r="B402" s="1405"/>
      <c r="C402" s="1407"/>
      <c r="D402" s="1405"/>
      <c r="E402" s="1405"/>
      <c r="F402" s="1405"/>
      <c r="G402" s="1405"/>
      <c r="H402" s="1405"/>
      <c r="I402" s="1405"/>
      <c r="J402" s="1405"/>
      <c r="K402" s="1405"/>
      <c r="L402" s="1405"/>
      <c r="M402" s="1405"/>
      <c r="S402" s="1731"/>
    </row>
    <row r="403" spans="1:19" x14ac:dyDescent="0.2">
      <c r="A403" s="1402"/>
      <c r="B403" s="1405"/>
      <c r="C403" s="1407"/>
      <c r="D403" s="1405"/>
      <c r="E403" s="1405"/>
      <c r="F403" s="1405"/>
      <c r="G403" s="1405"/>
      <c r="H403" s="1405"/>
      <c r="I403" s="1405"/>
      <c r="J403" s="1405"/>
      <c r="K403" s="1405"/>
      <c r="L403" s="1405"/>
      <c r="M403" s="1405"/>
      <c r="S403" s="1731"/>
    </row>
    <row r="404" spans="1:19" x14ac:dyDescent="0.2">
      <c r="A404" s="1402"/>
      <c r="B404" s="1405"/>
      <c r="C404" s="1407"/>
      <c r="D404" s="1405"/>
      <c r="E404" s="1405"/>
      <c r="F404" s="1405"/>
      <c r="G404" s="1405"/>
      <c r="H404" s="1405"/>
      <c r="I404" s="1405"/>
      <c r="J404" s="1405"/>
      <c r="K404" s="1405"/>
      <c r="L404" s="1405"/>
      <c r="M404" s="1405"/>
      <c r="S404" s="1731"/>
    </row>
    <row r="405" spans="1:19" x14ac:dyDescent="0.2">
      <c r="A405" s="1402"/>
      <c r="B405" s="1405"/>
      <c r="C405" s="1407"/>
      <c r="D405" s="1405"/>
      <c r="E405" s="1405"/>
      <c r="F405" s="1405"/>
      <c r="G405" s="1405"/>
      <c r="H405" s="1405"/>
      <c r="I405" s="1405"/>
      <c r="J405" s="1405"/>
      <c r="K405" s="1405"/>
      <c r="L405" s="1405"/>
      <c r="M405" s="1405"/>
      <c r="S405" s="1731"/>
    </row>
    <row r="406" spans="1:19" x14ac:dyDescent="0.2">
      <c r="A406" s="1402"/>
      <c r="B406" s="1405"/>
      <c r="C406" s="1407"/>
      <c r="D406" s="1405"/>
      <c r="E406" s="1405"/>
      <c r="F406" s="1405"/>
      <c r="G406" s="1405"/>
      <c r="H406" s="1405"/>
      <c r="I406" s="1405"/>
      <c r="J406" s="1405"/>
      <c r="K406" s="1405"/>
      <c r="L406" s="1405"/>
      <c r="M406" s="1405"/>
      <c r="S406" s="1731"/>
    </row>
    <row r="407" spans="1:19" x14ac:dyDescent="0.2">
      <c r="A407" s="1402"/>
      <c r="B407" s="1405"/>
      <c r="C407" s="1407"/>
      <c r="D407" s="1405"/>
      <c r="E407" s="1405"/>
      <c r="F407" s="1405"/>
      <c r="G407" s="1405"/>
      <c r="H407" s="1405"/>
      <c r="I407" s="1405"/>
      <c r="J407" s="1405"/>
      <c r="K407" s="1405"/>
      <c r="L407" s="1405"/>
      <c r="M407" s="1405"/>
      <c r="S407" s="1731"/>
    </row>
    <row r="408" spans="1:19" x14ac:dyDescent="0.2">
      <c r="A408" s="1402"/>
      <c r="B408" s="1405"/>
      <c r="C408" s="1407"/>
      <c r="D408" s="1405"/>
      <c r="E408" s="1405"/>
      <c r="F408" s="1405"/>
      <c r="G408" s="1405"/>
      <c r="H408" s="1405"/>
      <c r="I408" s="1405"/>
      <c r="J408" s="1405"/>
      <c r="K408" s="1405"/>
      <c r="L408" s="1405"/>
      <c r="M408" s="1405"/>
      <c r="S408" s="1731"/>
    </row>
    <row r="409" spans="1:19" x14ac:dyDescent="0.2">
      <c r="A409" s="1402"/>
      <c r="B409" s="1405"/>
      <c r="C409" s="1407"/>
      <c r="D409" s="1405"/>
      <c r="E409" s="1405"/>
      <c r="F409" s="1405"/>
      <c r="G409" s="1405"/>
      <c r="H409" s="1405"/>
      <c r="I409" s="1405"/>
      <c r="J409" s="1405"/>
      <c r="K409" s="1405"/>
      <c r="L409" s="1405"/>
      <c r="M409" s="1405"/>
      <c r="S409" s="1731"/>
    </row>
    <row r="410" spans="1:19" x14ac:dyDescent="0.2">
      <c r="A410" s="1402"/>
      <c r="B410" s="1405"/>
      <c r="C410" s="1407"/>
      <c r="D410" s="1405"/>
      <c r="E410" s="1405"/>
      <c r="F410" s="1405"/>
      <c r="G410" s="1405"/>
      <c r="H410" s="1405"/>
      <c r="I410" s="1405"/>
      <c r="J410" s="1405"/>
      <c r="K410" s="1405"/>
      <c r="L410" s="1405"/>
      <c r="M410" s="1405"/>
      <c r="S410" s="1731"/>
    </row>
    <row r="411" spans="1:19" x14ac:dyDescent="0.2">
      <c r="A411" s="1402"/>
      <c r="B411" s="1405"/>
      <c r="C411" s="1407"/>
      <c r="D411" s="1405"/>
      <c r="E411" s="1405"/>
      <c r="F411" s="1405"/>
      <c r="G411" s="1405"/>
      <c r="H411" s="1405"/>
      <c r="I411" s="1405"/>
      <c r="J411" s="1405"/>
      <c r="K411" s="1405"/>
      <c r="L411" s="1405"/>
      <c r="M411" s="1405"/>
      <c r="S411" s="1731"/>
    </row>
    <row r="412" spans="1:19" x14ac:dyDescent="0.2">
      <c r="A412" s="1402"/>
      <c r="B412" s="1405"/>
      <c r="C412" s="1407"/>
      <c r="D412" s="1405"/>
      <c r="E412" s="1405"/>
      <c r="F412" s="1405"/>
      <c r="G412" s="1405"/>
      <c r="H412" s="1405"/>
      <c r="I412" s="1405"/>
      <c r="J412" s="1405"/>
      <c r="K412" s="1405"/>
      <c r="L412" s="1405"/>
      <c r="M412" s="1405"/>
      <c r="S412" s="1731"/>
    </row>
    <row r="413" spans="1:19" x14ac:dyDescent="0.2">
      <c r="A413" s="1402"/>
      <c r="B413" s="1405"/>
      <c r="C413" s="1407"/>
      <c r="D413" s="1405"/>
      <c r="E413" s="1405"/>
      <c r="F413" s="1405"/>
      <c r="G413" s="1405"/>
      <c r="H413" s="1405"/>
      <c r="I413" s="1405"/>
      <c r="J413" s="1405"/>
      <c r="K413" s="1405"/>
      <c r="L413" s="1405"/>
      <c r="M413" s="1405"/>
      <c r="S413" s="1731"/>
    </row>
    <row r="414" spans="1:19" x14ac:dyDescent="0.2">
      <c r="A414" s="1402"/>
      <c r="B414" s="1405"/>
      <c r="C414" s="1407"/>
      <c r="D414" s="1405"/>
      <c r="E414" s="1405"/>
      <c r="F414" s="1405"/>
      <c r="G414" s="1405"/>
      <c r="H414" s="1405"/>
      <c r="I414" s="1405"/>
      <c r="J414" s="1405"/>
      <c r="K414" s="1405"/>
      <c r="L414" s="1405"/>
      <c r="M414" s="1405"/>
      <c r="S414" s="1731"/>
    </row>
    <row r="415" spans="1:19" x14ac:dyDescent="0.2">
      <c r="A415" s="1402"/>
      <c r="B415" s="1405"/>
      <c r="C415" s="1407"/>
      <c r="D415" s="1405"/>
      <c r="E415" s="1405"/>
      <c r="F415" s="1405"/>
      <c r="G415" s="1405"/>
      <c r="H415" s="1405"/>
      <c r="I415" s="1405"/>
      <c r="J415" s="1405"/>
      <c r="K415" s="1405"/>
      <c r="L415" s="1405"/>
      <c r="M415" s="1405"/>
      <c r="S415" s="1731"/>
    </row>
    <row r="416" spans="1:19" x14ac:dyDescent="0.2">
      <c r="A416" s="1402"/>
      <c r="B416" s="1405"/>
      <c r="C416" s="1407"/>
      <c r="D416" s="1405"/>
      <c r="E416" s="1405"/>
      <c r="F416" s="1405"/>
      <c r="G416" s="1405"/>
      <c r="H416" s="1405"/>
      <c r="I416" s="1405"/>
      <c r="J416" s="1405"/>
      <c r="K416" s="1405"/>
      <c r="L416" s="1405"/>
      <c r="M416" s="1405"/>
      <c r="S416" s="1731"/>
    </row>
    <row r="417" spans="1:19" x14ac:dyDescent="0.2">
      <c r="A417" s="1402"/>
      <c r="B417" s="1405"/>
      <c r="C417" s="1407"/>
      <c r="D417" s="1405"/>
      <c r="E417" s="1405"/>
      <c r="F417" s="1405"/>
      <c r="G417" s="1405"/>
      <c r="H417" s="1405"/>
      <c r="I417" s="1405"/>
      <c r="J417" s="1405"/>
      <c r="K417" s="1405"/>
      <c r="L417" s="1405"/>
      <c r="M417" s="1405"/>
      <c r="S417" s="1731"/>
    </row>
    <row r="418" spans="1:19" x14ac:dyDescent="0.2">
      <c r="A418" s="1402"/>
      <c r="B418" s="1405"/>
      <c r="C418" s="1407"/>
      <c r="D418" s="1405"/>
      <c r="E418" s="1405"/>
      <c r="F418" s="1405"/>
      <c r="G418" s="1405"/>
      <c r="H418" s="1405"/>
      <c r="I418" s="1405"/>
      <c r="J418" s="1405"/>
      <c r="K418" s="1405"/>
      <c r="L418" s="1405"/>
      <c r="M418" s="1405"/>
      <c r="S418" s="1731"/>
    </row>
    <row r="419" spans="1:19" x14ac:dyDescent="0.2">
      <c r="A419" s="1402"/>
      <c r="B419" s="1405"/>
      <c r="C419" s="1407"/>
      <c r="D419" s="1405"/>
      <c r="E419" s="1405"/>
      <c r="F419" s="1405"/>
      <c r="G419" s="1405"/>
      <c r="H419" s="1405"/>
      <c r="I419" s="1405"/>
      <c r="J419" s="1405"/>
      <c r="K419" s="1405"/>
      <c r="L419" s="1405"/>
      <c r="M419" s="1405"/>
      <c r="S419" s="1731"/>
    </row>
    <row r="420" spans="1:19" x14ac:dyDescent="0.2">
      <c r="A420" s="1402"/>
      <c r="B420" s="1405"/>
      <c r="C420" s="1407"/>
      <c r="D420" s="1405"/>
      <c r="E420" s="1405"/>
      <c r="F420" s="1405"/>
      <c r="G420" s="1405"/>
      <c r="H420" s="1405"/>
      <c r="I420" s="1405"/>
      <c r="J420" s="1405"/>
      <c r="K420" s="1405"/>
      <c r="L420" s="1405"/>
      <c r="M420" s="1405"/>
      <c r="S420" s="1731"/>
    </row>
    <row r="421" spans="1:19" x14ac:dyDescent="0.2">
      <c r="A421" s="1402"/>
      <c r="B421" s="1405"/>
      <c r="C421" s="1407"/>
      <c r="D421" s="1405"/>
      <c r="E421" s="1405"/>
      <c r="F421" s="1405"/>
      <c r="G421" s="1405"/>
      <c r="H421" s="1405"/>
      <c r="I421" s="1405"/>
      <c r="J421" s="1405"/>
      <c r="K421" s="1405"/>
      <c r="L421" s="1405"/>
      <c r="M421" s="1405"/>
      <c r="S421" s="1731"/>
    </row>
    <row r="422" spans="1:19" x14ac:dyDescent="0.2">
      <c r="A422" s="1402"/>
      <c r="B422" s="1405"/>
      <c r="C422" s="1407"/>
      <c r="D422" s="1405"/>
      <c r="E422" s="1405"/>
      <c r="F422" s="1405"/>
      <c r="G422" s="1405"/>
      <c r="H422" s="1405"/>
      <c r="I422" s="1405"/>
      <c r="J422" s="1405"/>
      <c r="K422" s="1405"/>
      <c r="L422" s="1405"/>
      <c r="M422" s="1405"/>
      <c r="S422" s="1731"/>
    </row>
    <row r="423" spans="1:19" x14ac:dyDescent="0.2">
      <c r="A423" s="1402"/>
      <c r="B423" s="1405"/>
      <c r="C423" s="1407"/>
      <c r="D423" s="1405"/>
      <c r="E423" s="1405"/>
      <c r="F423" s="1405"/>
      <c r="G423" s="1405"/>
      <c r="H423" s="1405"/>
      <c r="I423" s="1405"/>
      <c r="J423" s="1405"/>
      <c r="K423" s="1405"/>
      <c r="L423" s="1405"/>
      <c r="M423" s="1405"/>
      <c r="S423" s="1731"/>
    </row>
    <row r="424" spans="1:19" x14ac:dyDescent="0.2">
      <c r="A424" s="1402"/>
      <c r="B424" s="1405"/>
      <c r="C424" s="1407"/>
      <c r="D424" s="1405"/>
      <c r="E424" s="1405"/>
      <c r="F424" s="1405"/>
      <c r="G424" s="1405"/>
      <c r="H424" s="1405"/>
      <c r="I424" s="1405"/>
      <c r="J424" s="1405"/>
      <c r="K424" s="1405"/>
      <c r="L424" s="1405"/>
      <c r="M424" s="1405"/>
      <c r="S424" s="1731"/>
    </row>
    <row r="425" spans="1:19" x14ac:dyDescent="0.2">
      <c r="A425" s="1402"/>
      <c r="B425" s="1405"/>
      <c r="C425" s="1407"/>
      <c r="D425" s="1405"/>
      <c r="E425" s="1405"/>
      <c r="F425" s="1405"/>
      <c r="G425" s="1405"/>
      <c r="H425" s="1405"/>
      <c r="I425" s="1405"/>
      <c r="J425" s="1405"/>
      <c r="K425" s="1405"/>
      <c r="L425" s="1405"/>
      <c r="M425" s="1405"/>
      <c r="S425" s="1731"/>
    </row>
    <row r="426" spans="1:19" x14ac:dyDescent="0.2">
      <c r="A426" s="1402"/>
      <c r="B426" s="1405"/>
      <c r="C426" s="1407"/>
      <c r="D426" s="1405"/>
      <c r="E426" s="1405"/>
      <c r="F426" s="1405"/>
      <c r="G426" s="1405"/>
      <c r="H426" s="1405"/>
      <c r="I426" s="1405"/>
      <c r="J426" s="1405"/>
      <c r="K426" s="1405"/>
      <c r="L426" s="1405"/>
      <c r="M426" s="1405"/>
      <c r="S426" s="1731"/>
    </row>
    <row r="427" spans="1:19" x14ac:dyDescent="0.2">
      <c r="A427" s="1402"/>
      <c r="B427" s="1405"/>
      <c r="C427" s="1407"/>
      <c r="D427" s="1405"/>
      <c r="E427" s="1405"/>
      <c r="F427" s="1405"/>
      <c r="G427" s="1405"/>
      <c r="H427" s="1405"/>
      <c r="I427" s="1405"/>
      <c r="J427" s="1405"/>
      <c r="K427" s="1405"/>
      <c r="L427" s="1405"/>
      <c r="M427" s="1405"/>
      <c r="S427" s="1731"/>
    </row>
    <row r="428" spans="1:19" x14ac:dyDescent="0.2">
      <c r="A428" s="1402"/>
      <c r="B428" s="1405"/>
      <c r="C428" s="1407"/>
      <c r="D428" s="1405"/>
      <c r="E428" s="1405"/>
      <c r="F428" s="1405"/>
      <c r="G428" s="1405"/>
      <c r="H428" s="1405"/>
      <c r="I428" s="1405"/>
      <c r="J428" s="1405"/>
      <c r="K428" s="1405"/>
      <c r="L428" s="1405"/>
      <c r="M428" s="1405"/>
      <c r="S428" s="1731"/>
    </row>
    <row r="429" spans="1:19" x14ac:dyDescent="0.2">
      <c r="A429" s="1402"/>
      <c r="B429" s="1405"/>
      <c r="C429" s="1407"/>
      <c r="D429" s="1405"/>
      <c r="E429" s="1405"/>
      <c r="F429" s="1405"/>
      <c r="G429" s="1405"/>
      <c r="H429" s="1405"/>
      <c r="I429" s="1405"/>
      <c r="J429" s="1405"/>
      <c r="K429" s="1405"/>
      <c r="L429" s="1405"/>
      <c r="M429" s="1405"/>
      <c r="S429" s="1731"/>
    </row>
    <row r="430" spans="1:19" x14ac:dyDescent="0.2">
      <c r="A430" s="1402"/>
      <c r="B430" s="1405"/>
      <c r="C430" s="1407"/>
      <c r="D430" s="1405"/>
      <c r="E430" s="1405"/>
      <c r="F430" s="1405"/>
      <c r="G430" s="1405"/>
      <c r="H430" s="1405"/>
      <c r="I430" s="1405"/>
      <c r="J430" s="1405"/>
      <c r="K430" s="1405"/>
      <c r="L430" s="1405"/>
      <c r="M430" s="1405"/>
      <c r="S430" s="1731"/>
    </row>
    <row r="431" spans="1:19" x14ac:dyDescent="0.2">
      <c r="A431" s="1402"/>
      <c r="B431" s="1405"/>
      <c r="C431" s="1407"/>
      <c r="D431" s="1405"/>
      <c r="E431" s="1405"/>
      <c r="F431" s="1405"/>
      <c r="G431" s="1405"/>
      <c r="H431" s="1405"/>
      <c r="I431" s="1405"/>
      <c r="J431" s="1405"/>
      <c r="K431" s="1405"/>
      <c r="L431" s="1405"/>
      <c r="M431" s="1405"/>
      <c r="S431" s="1731"/>
    </row>
    <row r="432" spans="1:19" x14ac:dyDescent="0.2">
      <c r="A432" s="1402"/>
      <c r="B432" s="1405"/>
      <c r="C432" s="1407"/>
      <c r="D432" s="1405"/>
      <c r="E432" s="1405"/>
      <c r="F432" s="1405"/>
      <c r="G432" s="1405"/>
      <c r="H432" s="1405"/>
      <c r="I432" s="1405"/>
      <c r="J432" s="1405"/>
      <c r="K432" s="1405"/>
      <c r="L432" s="1405"/>
      <c r="M432" s="1405"/>
      <c r="S432" s="1731"/>
    </row>
    <row r="433" spans="1:19" x14ac:dyDescent="0.2">
      <c r="A433" s="1402"/>
      <c r="B433" s="1405"/>
      <c r="C433" s="1407"/>
      <c r="D433" s="1405"/>
      <c r="E433" s="1405"/>
      <c r="F433" s="1405"/>
      <c r="G433" s="1405"/>
      <c r="H433" s="1405"/>
      <c r="I433" s="1405"/>
      <c r="J433" s="1405"/>
      <c r="K433" s="1405"/>
      <c r="L433" s="1405"/>
      <c r="M433" s="1405"/>
      <c r="S433" s="1731"/>
    </row>
    <row r="434" spans="1:19" x14ac:dyDescent="0.2">
      <c r="A434" s="1402"/>
      <c r="B434" s="1405"/>
      <c r="C434" s="1407"/>
      <c r="D434" s="1405"/>
      <c r="E434" s="1405"/>
      <c r="F434" s="1405"/>
      <c r="G434" s="1405"/>
      <c r="H434" s="1405"/>
      <c r="I434" s="1405"/>
      <c r="J434" s="1405"/>
      <c r="K434" s="1405"/>
      <c r="L434" s="1405"/>
      <c r="M434" s="1405"/>
      <c r="S434" s="1731"/>
    </row>
    <row r="435" spans="1:19" x14ac:dyDescent="0.2">
      <c r="A435" s="1402"/>
      <c r="B435" s="1405"/>
      <c r="C435" s="1407"/>
      <c r="D435" s="1405"/>
      <c r="E435" s="1405"/>
      <c r="F435" s="1405"/>
      <c r="G435" s="1405"/>
      <c r="H435" s="1405"/>
      <c r="I435" s="1405"/>
      <c r="J435" s="1405"/>
      <c r="K435" s="1405"/>
      <c r="L435" s="1405"/>
      <c r="M435" s="1405"/>
      <c r="S435" s="1731"/>
    </row>
    <row r="436" spans="1:19" x14ac:dyDescent="0.2">
      <c r="A436" s="1402"/>
      <c r="B436" s="1405"/>
      <c r="C436" s="1407"/>
      <c r="D436" s="1405"/>
      <c r="E436" s="1405"/>
      <c r="F436" s="1405"/>
      <c r="G436" s="1405"/>
      <c r="H436" s="1405"/>
      <c r="I436" s="1405"/>
      <c r="J436" s="1405"/>
      <c r="K436" s="1405"/>
      <c r="L436" s="1405"/>
      <c r="M436" s="1405"/>
      <c r="S436" s="1731"/>
    </row>
    <row r="437" spans="1:19" x14ac:dyDescent="0.2">
      <c r="A437" s="1402"/>
      <c r="B437" s="1405"/>
      <c r="C437" s="1407"/>
      <c r="D437" s="1405"/>
      <c r="E437" s="1405"/>
      <c r="F437" s="1405"/>
      <c r="G437" s="1405"/>
      <c r="H437" s="1405"/>
      <c r="I437" s="1405"/>
      <c r="J437" s="1405"/>
      <c r="K437" s="1405"/>
      <c r="L437" s="1405"/>
      <c r="M437" s="1405"/>
      <c r="S437" s="1731"/>
    </row>
    <row r="438" spans="1:19" x14ac:dyDescent="0.2">
      <c r="A438" s="1402"/>
      <c r="B438" s="1405"/>
      <c r="C438" s="1407"/>
      <c r="D438" s="1405"/>
      <c r="E438" s="1405"/>
      <c r="F438" s="1405"/>
      <c r="G438" s="1405"/>
      <c r="H438" s="1405"/>
      <c r="I438" s="1405"/>
      <c r="J438" s="1405"/>
      <c r="K438" s="1405"/>
      <c r="L438" s="1405"/>
      <c r="M438" s="1405"/>
      <c r="S438" s="1731"/>
    </row>
    <row r="439" spans="1:19" x14ac:dyDescent="0.2">
      <c r="A439" s="1402"/>
      <c r="B439" s="1405"/>
      <c r="C439" s="1407"/>
      <c r="D439" s="1405"/>
      <c r="E439" s="1405"/>
      <c r="F439" s="1405"/>
      <c r="G439" s="1405"/>
      <c r="H439" s="1405"/>
      <c r="I439" s="1405"/>
      <c r="J439" s="1405"/>
      <c r="K439" s="1405"/>
      <c r="L439" s="1405"/>
      <c r="M439" s="1405"/>
      <c r="S439" s="1731"/>
    </row>
    <row r="440" spans="1:19" x14ac:dyDescent="0.2">
      <c r="A440" s="1402"/>
      <c r="B440" s="1405"/>
      <c r="C440" s="1407"/>
      <c r="D440" s="1405"/>
      <c r="E440" s="1405"/>
      <c r="F440" s="1405"/>
      <c r="G440" s="1405"/>
      <c r="H440" s="1405"/>
      <c r="I440" s="1405"/>
      <c r="J440" s="1405"/>
      <c r="K440" s="1405"/>
      <c r="L440" s="1405"/>
      <c r="M440" s="1405"/>
      <c r="S440" s="1731"/>
    </row>
    <row r="441" spans="1:19" x14ac:dyDescent="0.2">
      <c r="A441" s="1402"/>
      <c r="B441" s="1405"/>
      <c r="C441" s="1407"/>
      <c r="D441" s="1405"/>
      <c r="E441" s="1405"/>
      <c r="F441" s="1405"/>
      <c r="G441" s="1405"/>
      <c r="H441" s="1405"/>
      <c r="I441" s="1405"/>
      <c r="J441" s="1405"/>
      <c r="K441" s="1405"/>
      <c r="L441" s="1405"/>
      <c r="M441" s="1405"/>
      <c r="S441" s="1731"/>
    </row>
    <row r="442" spans="1:19" x14ac:dyDescent="0.2">
      <c r="A442" s="1402"/>
      <c r="B442" s="1405"/>
      <c r="C442" s="1407"/>
      <c r="D442" s="1405"/>
      <c r="E442" s="1405"/>
      <c r="F442" s="1405"/>
      <c r="G442" s="1405"/>
      <c r="H442" s="1405"/>
      <c r="I442" s="1405"/>
      <c r="J442" s="1405"/>
      <c r="K442" s="1405"/>
      <c r="L442" s="1405"/>
      <c r="M442" s="1405"/>
      <c r="S442" s="1731"/>
    </row>
    <row r="443" spans="1:19" x14ac:dyDescent="0.2">
      <c r="A443" s="1402"/>
      <c r="B443" s="1405"/>
      <c r="C443" s="1407"/>
      <c r="D443" s="1405"/>
      <c r="E443" s="1405"/>
      <c r="F443" s="1405"/>
      <c r="G443" s="1405"/>
      <c r="H443" s="1405"/>
      <c r="I443" s="1405"/>
      <c r="J443" s="1405"/>
      <c r="K443" s="1405"/>
      <c r="L443" s="1405"/>
      <c r="M443" s="1405"/>
      <c r="S443" s="1731"/>
    </row>
    <row r="444" spans="1:19" x14ac:dyDescent="0.2">
      <c r="A444" s="1402"/>
      <c r="B444" s="1405"/>
      <c r="C444" s="1407"/>
      <c r="D444" s="1405"/>
      <c r="E444" s="1405"/>
      <c r="F444" s="1405"/>
      <c r="G444" s="1405"/>
      <c r="H444" s="1405"/>
      <c r="I444" s="1405"/>
      <c r="J444" s="1405"/>
      <c r="K444" s="1405"/>
      <c r="L444" s="1405"/>
      <c r="M444" s="1405"/>
      <c r="S444" s="1731"/>
    </row>
    <row r="445" spans="1:19" x14ac:dyDescent="0.2">
      <c r="A445" s="1402"/>
      <c r="B445" s="1405"/>
      <c r="C445" s="1407"/>
      <c r="D445" s="1405"/>
      <c r="E445" s="1405"/>
      <c r="F445" s="1405"/>
      <c r="G445" s="1405"/>
      <c r="H445" s="1405"/>
      <c r="I445" s="1405"/>
      <c r="J445" s="1405"/>
      <c r="K445" s="1405"/>
      <c r="L445" s="1405"/>
      <c r="M445" s="1405"/>
      <c r="S445" s="1731"/>
    </row>
    <row r="446" spans="1:19" x14ac:dyDescent="0.2">
      <c r="A446" s="1402"/>
      <c r="B446" s="1405"/>
      <c r="C446" s="1407"/>
      <c r="D446" s="1405"/>
      <c r="E446" s="1405"/>
      <c r="F446" s="1405"/>
      <c r="G446" s="1405"/>
      <c r="H446" s="1405"/>
      <c r="I446" s="1405"/>
      <c r="J446" s="1405"/>
      <c r="K446" s="1405"/>
      <c r="L446" s="1405"/>
      <c r="M446" s="1405"/>
      <c r="S446" s="1731"/>
    </row>
    <row r="447" spans="1:19" x14ac:dyDescent="0.2">
      <c r="A447" s="1402"/>
      <c r="B447" s="1405"/>
      <c r="C447" s="1407"/>
      <c r="D447" s="1405"/>
      <c r="E447" s="1405"/>
      <c r="F447" s="1405"/>
      <c r="G447" s="1405"/>
      <c r="H447" s="1405"/>
      <c r="I447" s="1405"/>
      <c r="J447" s="1405"/>
      <c r="K447" s="1405"/>
      <c r="L447" s="1405"/>
      <c r="M447" s="1405"/>
      <c r="S447" s="1731"/>
    </row>
    <row r="448" spans="1:19" x14ac:dyDescent="0.2">
      <c r="A448" s="1402"/>
      <c r="B448" s="1405"/>
      <c r="C448" s="1407"/>
      <c r="D448" s="1405"/>
      <c r="E448" s="1405"/>
      <c r="F448" s="1405"/>
      <c r="G448" s="1405"/>
      <c r="H448" s="1405"/>
      <c r="I448" s="1405"/>
      <c r="J448" s="1405"/>
      <c r="K448" s="1405"/>
      <c r="L448" s="1405"/>
      <c r="M448" s="1405"/>
      <c r="S448" s="1731"/>
    </row>
    <row r="449" spans="1:19" x14ac:dyDescent="0.2">
      <c r="A449" s="1402"/>
      <c r="B449" s="1405"/>
      <c r="C449" s="1407"/>
      <c r="D449" s="1405"/>
      <c r="E449" s="1405"/>
      <c r="F449" s="1405"/>
      <c r="G449" s="1405"/>
      <c r="H449" s="1405"/>
      <c r="I449" s="1405"/>
      <c r="J449" s="1405"/>
      <c r="K449" s="1405"/>
      <c r="L449" s="1405"/>
      <c r="M449" s="1405"/>
      <c r="S449" s="1731"/>
    </row>
    <row r="450" spans="1:19" x14ac:dyDescent="0.2">
      <c r="A450" s="1402"/>
      <c r="B450" s="1405"/>
      <c r="C450" s="1407"/>
      <c r="D450" s="1405"/>
      <c r="E450" s="1405"/>
      <c r="F450" s="1405"/>
      <c r="G450" s="1405"/>
      <c r="H450" s="1405"/>
      <c r="I450" s="1405"/>
      <c r="J450" s="1405"/>
      <c r="K450" s="1405"/>
      <c r="L450" s="1405"/>
      <c r="M450" s="1405"/>
      <c r="S450" s="1731"/>
    </row>
    <row r="451" spans="1:19" x14ac:dyDescent="0.2">
      <c r="A451" s="1402"/>
      <c r="B451" s="1405"/>
      <c r="C451" s="1407"/>
      <c r="D451" s="1405"/>
      <c r="E451" s="1405"/>
      <c r="F451" s="1405"/>
      <c r="G451" s="1405"/>
      <c r="H451" s="1405"/>
      <c r="I451" s="1405"/>
      <c r="J451" s="1405"/>
      <c r="K451" s="1405"/>
      <c r="L451" s="1405"/>
      <c r="M451" s="1405"/>
      <c r="S451" s="1731"/>
    </row>
    <row r="452" spans="1:19" x14ac:dyDescent="0.2">
      <c r="A452" s="1402"/>
      <c r="B452" s="1405"/>
      <c r="C452" s="1407"/>
      <c r="D452" s="1405"/>
      <c r="E452" s="1405"/>
      <c r="F452" s="1405"/>
      <c r="G452" s="1405"/>
      <c r="H452" s="1405"/>
      <c r="I452" s="1405"/>
      <c r="J452" s="1405"/>
      <c r="K452" s="1405"/>
      <c r="L452" s="1405"/>
      <c r="M452" s="1405"/>
      <c r="S452" s="1731"/>
    </row>
    <row r="453" spans="1:19" x14ac:dyDescent="0.2">
      <c r="A453" s="1402"/>
      <c r="B453" s="1405"/>
      <c r="C453" s="1407"/>
      <c r="D453" s="1405"/>
      <c r="E453" s="1405"/>
      <c r="F453" s="1405"/>
      <c r="G453" s="1405"/>
      <c r="H453" s="1405"/>
      <c r="I453" s="1405"/>
      <c r="J453" s="1405"/>
      <c r="K453" s="1405"/>
      <c r="L453" s="1405"/>
      <c r="M453" s="1405"/>
      <c r="S453" s="1731"/>
    </row>
    <row r="454" spans="1:19" x14ac:dyDescent="0.2">
      <c r="A454" s="1402"/>
      <c r="B454" s="1405"/>
      <c r="C454" s="1407"/>
      <c r="D454" s="1405"/>
      <c r="E454" s="1405"/>
      <c r="F454" s="1405"/>
      <c r="G454" s="1405"/>
      <c r="H454" s="1405"/>
      <c r="I454" s="1405"/>
      <c r="J454" s="1405"/>
      <c r="K454" s="1405"/>
      <c r="L454" s="1405"/>
      <c r="M454" s="1405"/>
      <c r="S454" s="1731"/>
    </row>
    <row r="455" spans="1:19" x14ac:dyDescent="0.2">
      <c r="A455" s="1402"/>
      <c r="B455" s="1405"/>
      <c r="C455" s="1407"/>
      <c r="D455" s="1405"/>
      <c r="E455" s="1405"/>
      <c r="F455" s="1405"/>
      <c r="G455" s="1405"/>
      <c r="H455" s="1405"/>
      <c r="I455" s="1405"/>
      <c r="J455" s="1405"/>
      <c r="K455" s="1405"/>
      <c r="L455" s="1405"/>
      <c r="M455" s="1405"/>
      <c r="S455" s="1731"/>
    </row>
    <row r="456" spans="1:19" x14ac:dyDescent="0.2">
      <c r="A456" s="1402"/>
      <c r="B456" s="1405"/>
      <c r="C456" s="1407"/>
      <c r="D456" s="1405"/>
      <c r="E456" s="1405"/>
      <c r="F456" s="1405"/>
      <c r="G456" s="1405"/>
      <c r="H456" s="1405"/>
      <c r="I456" s="1405"/>
      <c r="J456" s="1405"/>
      <c r="K456" s="1405"/>
      <c r="L456" s="1405"/>
      <c r="M456" s="1405"/>
      <c r="S456" s="1731"/>
    </row>
    <row r="457" spans="1:19" x14ac:dyDescent="0.2">
      <c r="A457" s="1402"/>
      <c r="B457" s="1405"/>
      <c r="C457" s="1407"/>
      <c r="D457" s="1405"/>
      <c r="E457" s="1405"/>
      <c r="F457" s="1405"/>
      <c r="G457" s="1405"/>
      <c r="H457" s="1405"/>
      <c r="I457" s="1405"/>
      <c r="J457" s="1405"/>
      <c r="K457" s="1405"/>
      <c r="L457" s="1405"/>
      <c r="M457" s="1405"/>
      <c r="S457" s="1731"/>
    </row>
    <row r="458" spans="1:19" x14ac:dyDescent="0.2">
      <c r="A458" s="1402"/>
      <c r="B458" s="1405"/>
      <c r="C458" s="1407"/>
      <c r="D458" s="1405"/>
      <c r="E458" s="1405"/>
      <c r="F458" s="1405"/>
      <c r="G458" s="1405"/>
      <c r="H458" s="1405"/>
      <c r="I458" s="1405"/>
      <c r="J458" s="1405"/>
      <c r="K458" s="1405"/>
      <c r="L458" s="1405"/>
      <c r="M458" s="1405"/>
      <c r="S458" s="1731"/>
    </row>
    <row r="459" spans="1:19" x14ac:dyDescent="0.2">
      <c r="A459" s="1402"/>
      <c r="B459" s="1405"/>
      <c r="C459" s="1407"/>
      <c r="D459" s="1405"/>
      <c r="E459" s="1405"/>
      <c r="F459" s="1405"/>
      <c r="G459" s="1405"/>
      <c r="H459" s="1405"/>
      <c r="I459" s="1405"/>
      <c r="J459" s="1405"/>
      <c r="K459" s="1405"/>
      <c r="L459" s="1405"/>
      <c r="M459" s="1405"/>
      <c r="S459" s="1731"/>
    </row>
    <row r="460" spans="1:19" x14ac:dyDescent="0.2">
      <c r="A460" s="1402"/>
      <c r="B460" s="1405"/>
      <c r="C460" s="1407"/>
      <c r="D460" s="1405"/>
      <c r="E460" s="1405"/>
      <c r="F460" s="1405"/>
      <c r="G460" s="1405"/>
      <c r="H460" s="1405"/>
      <c r="I460" s="1405"/>
      <c r="J460" s="1405"/>
      <c r="K460" s="1405"/>
      <c r="L460" s="1405"/>
      <c r="M460" s="1405"/>
      <c r="S460" s="1731"/>
    </row>
    <row r="461" spans="1:19" x14ac:dyDescent="0.2">
      <c r="A461" s="1402"/>
      <c r="B461" s="1405"/>
      <c r="C461" s="1407"/>
      <c r="D461" s="1405"/>
      <c r="E461" s="1405"/>
      <c r="F461" s="1405"/>
      <c r="G461" s="1405"/>
      <c r="H461" s="1405"/>
      <c r="I461" s="1405"/>
      <c r="J461" s="1405"/>
      <c r="K461" s="1405"/>
      <c r="L461" s="1405"/>
      <c r="M461" s="1405"/>
      <c r="S461" s="1731"/>
    </row>
    <row r="462" spans="1:19" x14ac:dyDescent="0.2">
      <c r="A462" s="1402"/>
      <c r="B462" s="1405"/>
      <c r="C462" s="1407"/>
      <c r="D462" s="1405"/>
      <c r="E462" s="1405"/>
      <c r="F462" s="1405"/>
      <c r="G462" s="1405"/>
      <c r="H462" s="1405"/>
      <c r="I462" s="1405"/>
      <c r="J462" s="1405"/>
      <c r="K462" s="1405"/>
      <c r="L462" s="1405"/>
      <c r="M462" s="1405"/>
      <c r="S462" s="1731"/>
    </row>
    <row r="463" spans="1:19" x14ac:dyDescent="0.2">
      <c r="A463" s="1402"/>
      <c r="B463" s="1405"/>
      <c r="C463" s="1407"/>
      <c r="D463" s="1405"/>
      <c r="E463" s="1405"/>
      <c r="F463" s="1405"/>
      <c r="G463" s="1405"/>
      <c r="H463" s="1405"/>
      <c r="I463" s="1405"/>
      <c r="J463" s="1405"/>
      <c r="K463" s="1405"/>
      <c r="L463" s="1405"/>
      <c r="M463" s="1405"/>
      <c r="S463" s="1731"/>
    </row>
    <row r="464" spans="1:19" x14ac:dyDescent="0.2">
      <c r="A464" s="1402"/>
      <c r="B464" s="1405"/>
      <c r="C464" s="1407"/>
      <c r="D464" s="1405"/>
      <c r="E464" s="1405"/>
      <c r="F464" s="1405"/>
      <c r="G464" s="1405"/>
      <c r="H464" s="1405"/>
      <c r="I464" s="1405"/>
      <c r="J464" s="1405"/>
      <c r="K464" s="1405"/>
      <c r="L464" s="1405"/>
      <c r="M464" s="1405"/>
      <c r="S464" s="1731"/>
    </row>
    <row r="465" spans="1:19" x14ac:dyDescent="0.2">
      <c r="A465" s="1402"/>
      <c r="B465" s="1405"/>
      <c r="C465" s="1407"/>
      <c r="D465" s="1405"/>
      <c r="E465" s="1405"/>
      <c r="F465" s="1405"/>
      <c r="G465" s="1405"/>
      <c r="H465" s="1405"/>
      <c r="I465" s="1405"/>
      <c r="J465" s="1405"/>
      <c r="K465" s="1405"/>
      <c r="L465" s="1405"/>
      <c r="M465" s="1405"/>
      <c r="S465" s="1731"/>
    </row>
    <row r="466" spans="1:19" x14ac:dyDescent="0.2">
      <c r="A466" s="1402"/>
      <c r="B466" s="1405"/>
      <c r="C466" s="1407"/>
      <c r="D466" s="1405"/>
      <c r="E466" s="1405"/>
      <c r="F466" s="1405"/>
      <c r="G466" s="1405"/>
      <c r="H466" s="1405"/>
      <c r="I466" s="1405"/>
      <c r="J466" s="1405"/>
      <c r="K466" s="1405"/>
      <c r="L466" s="1405"/>
      <c r="M466" s="1405"/>
      <c r="S466" s="1731"/>
    </row>
    <row r="467" spans="1:19" x14ac:dyDescent="0.2">
      <c r="A467" s="1402"/>
      <c r="B467" s="1405"/>
      <c r="C467" s="1407"/>
      <c r="D467" s="1405"/>
      <c r="E467" s="1405"/>
      <c r="F467" s="1405"/>
      <c r="G467" s="1405"/>
      <c r="H467" s="1405"/>
      <c r="I467" s="1405"/>
      <c r="J467" s="1405"/>
      <c r="K467" s="1405"/>
      <c r="L467" s="1405"/>
      <c r="M467" s="1405"/>
      <c r="S467" s="1731"/>
    </row>
    <row r="468" spans="1:19" x14ac:dyDescent="0.2">
      <c r="A468" s="1402"/>
      <c r="B468" s="1405"/>
      <c r="C468" s="1407"/>
      <c r="D468" s="1405"/>
      <c r="E468" s="1405"/>
      <c r="F468" s="1405"/>
      <c r="G468" s="1405"/>
      <c r="H468" s="1405"/>
      <c r="I468" s="1405"/>
      <c r="J468" s="1405"/>
      <c r="K468" s="1405"/>
      <c r="L468" s="1405"/>
      <c r="M468" s="1405"/>
      <c r="S468" s="1731"/>
    </row>
    <row r="469" spans="1:19" x14ac:dyDescent="0.2">
      <c r="A469" s="1402"/>
      <c r="B469" s="1405"/>
      <c r="C469" s="1407"/>
      <c r="D469" s="1405"/>
      <c r="E469" s="1405"/>
      <c r="F469" s="1405"/>
      <c r="G469" s="1405"/>
      <c r="H469" s="1405"/>
      <c r="I469" s="1405"/>
      <c r="J469" s="1405"/>
      <c r="K469" s="1405"/>
      <c r="L469" s="1405"/>
      <c r="M469" s="1405"/>
      <c r="S469" s="1731"/>
    </row>
    <row r="470" spans="1:19" x14ac:dyDescent="0.2">
      <c r="A470" s="1402"/>
      <c r="B470" s="1405"/>
      <c r="C470" s="1407"/>
      <c r="D470" s="1405"/>
      <c r="E470" s="1405"/>
      <c r="F470" s="1405"/>
      <c r="G470" s="1405"/>
      <c r="H470" s="1405"/>
      <c r="I470" s="1405"/>
      <c r="J470" s="1405"/>
      <c r="K470" s="1405"/>
      <c r="L470" s="1405"/>
      <c r="M470" s="1405"/>
      <c r="S470" s="1731"/>
    </row>
    <row r="471" spans="1:19" x14ac:dyDescent="0.2">
      <c r="A471" s="1402"/>
      <c r="B471" s="1405"/>
      <c r="C471" s="1407"/>
      <c r="D471" s="1405"/>
      <c r="E471" s="1405"/>
      <c r="F471" s="1405"/>
      <c r="G471" s="1405"/>
      <c r="H471" s="1405"/>
      <c r="I471" s="1405"/>
      <c r="J471" s="1405"/>
      <c r="K471" s="1405"/>
      <c r="L471" s="1405"/>
      <c r="M471" s="1405"/>
      <c r="S471" s="1731"/>
    </row>
    <row r="472" spans="1:19" x14ac:dyDescent="0.2">
      <c r="A472" s="1402"/>
      <c r="B472" s="1405"/>
      <c r="C472" s="1407"/>
      <c r="D472" s="1405"/>
      <c r="E472" s="1405"/>
      <c r="F472" s="1405"/>
      <c r="G472" s="1405"/>
      <c r="H472" s="1405"/>
      <c r="I472" s="1405"/>
      <c r="J472" s="1405"/>
      <c r="K472" s="1405"/>
      <c r="L472" s="1405"/>
      <c r="M472" s="1405"/>
      <c r="S472" s="1731"/>
    </row>
    <row r="473" spans="1:19" ht="13.5" thickBot="1" x14ac:dyDescent="0.25">
      <c r="A473" s="1402"/>
      <c r="B473" s="1405"/>
      <c r="C473" s="1407"/>
      <c r="D473" s="1405"/>
      <c r="E473" s="1405"/>
      <c r="F473" s="1405"/>
      <c r="G473" s="1405"/>
      <c r="H473" s="1405"/>
      <c r="I473" s="1405"/>
      <c r="J473" s="1405"/>
      <c r="K473" s="1405"/>
      <c r="L473" s="1405"/>
      <c r="M473" s="1405"/>
      <c r="S473" s="1731"/>
    </row>
    <row r="474" spans="1:19" ht="45" x14ac:dyDescent="0.2">
      <c r="A474" s="1736"/>
      <c r="B474" s="481" t="s">
        <v>30</v>
      </c>
      <c r="C474" s="481"/>
      <c r="D474" s="1737"/>
      <c r="E474" s="1737"/>
      <c r="F474" s="1737"/>
      <c r="G474" s="1737"/>
      <c r="H474" s="1737"/>
      <c r="I474" s="1737"/>
      <c r="J474" s="1737"/>
      <c r="K474" s="1737"/>
      <c r="L474" s="1737"/>
      <c r="M474" s="1737"/>
      <c r="N474" s="1737"/>
      <c r="O474" s="1737"/>
      <c r="P474" s="1737"/>
      <c r="Q474" s="1737"/>
      <c r="R474" s="1737"/>
      <c r="S474" s="1738"/>
    </row>
    <row r="475" spans="1:19" x14ac:dyDescent="0.2">
      <c r="A475" s="1739"/>
      <c r="B475" s="1405"/>
      <c r="C475" s="1407"/>
      <c r="D475" s="1405"/>
      <c r="E475" s="1405"/>
      <c r="F475" s="1405"/>
      <c r="G475" s="1405"/>
      <c r="H475" s="1405"/>
      <c r="I475" s="1405"/>
      <c r="J475" s="1405"/>
      <c r="K475" s="1405"/>
      <c r="L475" s="1405"/>
      <c r="M475" s="1405"/>
      <c r="S475" s="1740"/>
    </row>
    <row r="476" spans="1:19" x14ac:dyDescent="0.2">
      <c r="A476" s="1739"/>
      <c r="B476" s="1405"/>
      <c r="C476" s="1407"/>
      <c r="D476" s="1405"/>
      <c r="E476" s="1405"/>
      <c r="F476" s="1405"/>
      <c r="G476" s="1405"/>
      <c r="H476" s="1405"/>
      <c r="I476" s="1405"/>
      <c r="J476" s="1405"/>
      <c r="K476" s="1405"/>
      <c r="L476" s="1405"/>
      <c r="M476" s="1405"/>
      <c r="S476" s="1740"/>
    </row>
    <row r="477" spans="1:19" x14ac:dyDescent="0.2">
      <c r="A477" s="1739"/>
      <c r="B477" s="1405"/>
      <c r="C477" s="1407"/>
      <c r="D477" s="1405"/>
      <c r="E477" s="1405"/>
      <c r="F477" s="1405"/>
      <c r="G477" s="1405"/>
      <c r="H477" s="1405"/>
      <c r="I477" s="1405"/>
      <c r="J477" s="1405"/>
      <c r="K477" s="1405"/>
      <c r="L477" s="1405"/>
      <c r="M477" s="1405"/>
      <c r="S477" s="1740"/>
    </row>
    <row r="478" spans="1:19" x14ac:dyDescent="0.2">
      <c r="A478" s="1739"/>
      <c r="B478" s="1405"/>
      <c r="C478" s="1407"/>
      <c r="D478" s="1405"/>
      <c r="E478" s="1405"/>
      <c r="F478" s="1405"/>
      <c r="G478" s="1405"/>
      <c r="H478" s="1405"/>
      <c r="I478" s="1405"/>
      <c r="J478" s="1405"/>
      <c r="K478" s="1405"/>
      <c r="L478" s="1405"/>
      <c r="M478" s="1405"/>
      <c r="S478" s="1740"/>
    </row>
    <row r="479" spans="1:19" x14ac:dyDescent="0.2">
      <c r="A479" s="1739"/>
      <c r="B479" s="1405"/>
      <c r="C479" s="1407"/>
      <c r="D479" s="1405"/>
      <c r="E479" s="1405"/>
      <c r="F479" s="1405"/>
      <c r="G479" s="1405"/>
      <c r="H479" s="1405"/>
      <c r="I479" s="1405"/>
      <c r="J479" s="1405"/>
      <c r="K479" s="1405"/>
      <c r="L479" s="1405"/>
      <c r="M479" s="1405"/>
      <c r="S479" s="1740"/>
    </row>
    <row r="480" spans="1:19" x14ac:dyDescent="0.2">
      <c r="A480" s="1739"/>
      <c r="B480" s="1405"/>
      <c r="C480" s="1407"/>
      <c r="D480" s="1405"/>
      <c r="E480" s="1405"/>
      <c r="F480" s="1405"/>
      <c r="G480" s="1405"/>
      <c r="H480" s="1405"/>
      <c r="I480" s="1405"/>
      <c r="J480" s="1405"/>
      <c r="K480" s="1405"/>
      <c r="L480" s="1405"/>
      <c r="M480" s="1405"/>
      <c r="S480" s="1740"/>
    </row>
    <row r="481" spans="1:19" x14ac:dyDescent="0.2">
      <c r="A481" s="1739"/>
      <c r="B481" s="1405"/>
      <c r="C481" s="1407"/>
      <c r="D481" s="1405"/>
      <c r="E481" s="1405"/>
      <c r="F481" s="1405"/>
      <c r="G481" s="1405"/>
      <c r="H481" s="1405"/>
      <c r="I481" s="1405"/>
      <c r="J481" s="1405"/>
      <c r="K481" s="1405"/>
      <c r="L481" s="1405"/>
      <c r="M481" s="1405"/>
      <c r="S481" s="1740"/>
    </row>
    <row r="482" spans="1:19" x14ac:dyDescent="0.2">
      <c r="A482" s="1739"/>
      <c r="B482" s="1405"/>
      <c r="C482" s="1407"/>
      <c r="D482" s="1405"/>
      <c r="E482" s="1405"/>
      <c r="F482" s="1405"/>
      <c r="G482" s="1405"/>
      <c r="H482" s="1405"/>
      <c r="I482" s="1405"/>
      <c r="J482" s="1405"/>
      <c r="K482" s="1405"/>
      <c r="L482" s="1405"/>
      <c r="M482" s="1405"/>
      <c r="S482" s="1740"/>
    </row>
    <row r="483" spans="1:19" x14ac:dyDescent="0.2">
      <c r="A483" s="1739"/>
      <c r="B483" s="1405"/>
      <c r="C483" s="1407"/>
      <c r="D483" s="1405"/>
      <c r="E483" s="1405"/>
      <c r="F483" s="1405"/>
      <c r="G483" s="1405"/>
      <c r="H483" s="1405"/>
      <c r="I483" s="1405"/>
      <c r="J483" s="1405"/>
      <c r="K483" s="1405"/>
      <c r="L483" s="1405"/>
      <c r="M483" s="1405"/>
      <c r="S483" s="1740"/>
    </row>
    <row r="484" spans="1:19" x14ac:dyDescent="0.2">
      <c r="A484" s="1739"/>
      <c r="B484" s="1405"/>
      <c r="C484" s="1407"/>
      <c r="D484" s="1405"/>
      <c r="E484" s="1405"/>
      <c r="F484" s="1405"/>
      <c r="G484" s="1405"/>
      <c r="H484" s="1405"/>
      <c r="I484" s="1405"/>
      <c r="J484" s="1405"/>
      <c r="K484" s="1405"/>
      <c r="L484" s="1405"/>
      <c r="M484" s="1405"/>
      <c r="S484" s="1740"/>
    </row>
    <row r="485" spans="1:19" ht="13.5" thickBot="1" x14ac:dyDescent="0.25">
      <c r="A485" s="1741"/>
      <c r="B485" s="1742"/>
      <c r="C485" s="1743"/>
      <c r="D485" s="1742"/>
      <c r="E485" s="1742"/>
      <c r="F485" s="1742"/>
      <c r="G485" s="1742"/>
      <c r="H485" s="1742"/>
      <c r="I485" s="1742"/>
      <c r="J485" s="1742"/>
      <c r="K485" s="1742"/>
      <c r="L485" s="1742"/>
      <c r="M485" s="1742"/>
      <c r="N485" s="1742"/>
      <c r="O485" s="1742"/>
      <c r="P485" s="1742"/>
      <c r="Q485" s="1742"/>
      <c r="R485" s="1742"/>
      <c r="S485" s="1744"/>
    </row>
    <row r="486" spans="1:19" x14ac:dyDescent="0.2">
      <c r="A486" s="1402"/>
      <c r="B486" s="1405"/>
      <c r="C486" s="1407"/>
      <c r="D486" s="1405"/>
      <c r="E486" s="1405"/>
      <c r="F486" s="1405"/>
      <c r="G486" s="1405"/>
      <c r="H486" s="1405"/>
      <c r="I486" s="1405"/>
      <c r="J486" s="1405"/>
      <c r="K486" s="1405"/>
      <c r="L486" s="1405"/>
      <c r="M486" s="1405"/>
      <c r="S486" s="1731"/>
    </row>
    <row r="487" spans="1:19" x14ac:dyDescent="0.2">
      <c r="A487" s="1402"/>
      <c r="B487" s="1405"/>
      <c r="C487" s="1407"/>
      <c r="D487" s="1405"/>
      <c r="E487" s="1405"/>
      <c r="F487" s="1405"/>
      <c r="G487" s="1405"/>
      <c r="H487" s="1405"/>
      <c r="I487" s="1405"/>
      <c r="J487" s="1405"/>
      <c r="K487" s="1405"/>
      <c r="L487" s="1405"/>
      <c r="M487" s="1405"/>
      <c r="S487" s="1731"/>
    </row>
    <row r="488" spans="1:19" x14ac:dyDescent="0.2">
      <c r="A488" s="1402"/>
      <c r="B488" s="1405"/>
      <c r="C488" s="1407"/>
      <c r="D488" s="1405"/>
      <c r="E488" s="1405"/>
      <c r="F488" s="1405"/>
      <c r="G488" s="1405"/>
      <c r="H488" s="1405"/>
      <c r="I488" s="1405"/>
      <c r="J488" s="1405"/>
      <c r="K488" s="1405"/>
      <c r="L488" s="1405"/>
      <c r="M488" s="1405"/>
      <c r="S488" s="1731"/>
    </row>
    <row r="489" spans="1:19" x14ac:dyDescent="0.2">
      <c r="A489" s="1402"/>
      <c r="B489" s="1405"/>
      <c r="C489" s="1407"/>
      <c r="D489" s="1405"/>
      <c r="E489" s="1405"/>
      <c r="F489" s="1405"/>
      <c r="G489" s="1405"/>
      <c r="H489" s="1405"/>
      <c r="I489" s="1405"/>
      <c r="J489" s="1405"/>
      <c r="K489" s="1405"/>
      <c r="L489" s="1405"/>
      <c r="M489" s="1405"/>
      <c r="S489" s="1731"/>
    </row>
    <row r="490" spans="1:19" x14ac:dyDescent="0.2">
      <c r="A490" s="1402"/>
      <c r="B490" s="1405"/>
      <c r="C490" s="1407"/>
      <c r="D490" s="1405"/>
      <c r="E490" s="1405"/>
      <c r="F490" s="1405"/>
      <c r="G490" s="1405"/>
      <c r="H490" s="1405"/>
      <c r="I490" s="1405"/>
      <c r="J490" s="1405"/>
      <c r="K490" s="1405"/>
      <c r="L490" s="1405"/>
      <c r="M490" s="1405"/>
      <c r="S490" s="1731"/>
    </row>
    <row r="491" spans="1:19" x14ac:dyDescent="0.2">
      <c r="A491" s="1402"/>
      <c r="B491" s="1405"/>
      <c r="C491" s="1407"/>
      <c r="D491" s="1405"/>
      <c r="E491" s="1405"/>
      <c r="F491" s="1405"/>
      <c r="G491" s="1405"/>
      <c r="H491" s="1405"/>
      <c r="I491" s="1405"/>
      <c r="J491" s="1405"/>
      <c r="K491" s="1405"/>
      <c r="L491" s="1405"/>
      <c r="M491" s="1405"/>
      <c r="S491" s="1731"/>
    </row>
    <row r="492" spans="1:19" x14ac:dyDescent="0.2">
      <c r="A492" s="1402"/>
      <c r="B492" s="1405"/>
      <c r="C492" s="1407"/>
      <c r="D492" s="1405"/>
      <c r="E492" s="1405"/>
      <c r="F492" s="1405"/>
      <c r="G492" s="1405"/>
      <c r="H492" s="1405"/>
      <c r="I492" s="1405"/>
      <c r="J492" s="1405"/>
      <c r="K492" s="1405"/>
      <c r="L492" s="1405"/>
      <c r="M492" s="1405"/>
      <c r="S492" s="1731"/>
    </row>
    <row r="493" spans="1:19" x14ac:dyDescent="0.2">
      <c r="A493" s="1402"/>
      <c r="B493" s="1405"/>
      <c r="C493" s="1407"/>
      <c r="D493" s="1405"/>
      <c r="E493" s="1405"/>
      <c r="F493" s="1405"/>
      <c r="G493" s="1405"/>
      <c r="H493" s="1405"/>
      <c r="I493" s="1405"/>
      <c r="J493" s="1405"/>
      <c r="K493" s="1405"/>
      <c r="L493" s="1405"/>
      <c r="M493" s="1405"/>
      <c r="S493" s="1731"/>
    </row>
    <row r="494" spans="1:19" x14ac:dyDescent="0.2">
      <c r="A494" s="1402"/>
      <c r="B494" s="1405"/>
      <c r="C494" s="1407"/>
      <c r="D494" s="1405"/>
      <c r="E494" s="1405"/>
      <c r="F494" s="1405"/>
      <c r="G494" s="1405"/>
      <c r="H494" s="1405"/>
      <c r="I494" s="1405"/>
      <c r="J494" s="1405"/>
      <c r="K494" s="1405"/>
      <c r="L494" s="1405"/>
      <c r="M494" s="1405"/>
      <c r="S494" s="1731"/>
    </row>
    <row r="495" spans="1:19" x14ac:dyDescent="0.2">
      <c r="A495" s="1402"/>
      <c r="B495" s="1405"/>
      <c r="C495" s="1407"/>
      <c r="D495" s="1405"/>
      <c r="E495" s="1405"/>
      <c r="F495" s="1405"/>
      <c r="G495" s="1405"/>
      <c r="H495" s="1405"/>
      <c r="I495" s="1405"/>
      <c r="J495" s="1405"/>
      <c r="K495" s="1405"/>
      <c r="L495" s="1405"/>
      <c r="M495" s="1405"/>
      <c r="S495" s="1731"/>
    </row>
    <row r="496" spans="1:19" x14ac:dyDescent="0.2">
      <c r="A496" s="1402"/>
      <c r="B496" s="1405"/>
      <c r="C496" s="1407"/>
      <c r="D496" s="1405"/>
      <c r="E496" s="1405"/>
      <c r="F496" s="1405"/>
      <c r="G496" s="1405"/>
      <c r="H496" s="1405"/>
      <c r="I496" s="1405"/>
      <c r="J496" s="1405"/>
      <c r="K496" s="1405"/>
      <c r="L496" s="1405"/>
      <c r="M496" s="1405"/>
      <c r="S496" s="1731"/>
    </row>
    <row r="497" spans="1:19" x14ac:dyDescent="0.2">
      <c r="A497" s="1402"/>
      <c r="B497" s="1405"/>
      <c r="C497" s="1407"/>
      <c r="D497" s="1405"/>
      <c r="E497" s="1405"/>
      <c r="F497" s="1405"/>
      <c r="G497" s="1405"/>
      <c r="H497" s="1405"/>
      <c r="I497" s="1405"/>
      <c r="J497" s="1405"/>
      <c r="K497" s="1405"/>
      <c r="L497" s="1405"/>
      <c r="M497" s="1405"/>
      <c r="S497" s="1731"/>
    </row>
    <row r="498" spans="1:19" x14ac:dyDescent="0.2">
      <c r="A498" s="1402"/>
      <c r="B498" s="1405"/>
      <c r="C498" s="1407"/>
      <c r="D498" s="1405"/>
      <c r="E498" s="1405"/>
      <c r="F498" s="1405"/>
      <c r="G498" s="1405"/>
      <c r="H498" s="1405"/>
      <c r="I498" s="1405"/>
      <c r="J498" s="1405"/>
      <c r="K498" s="1405"/>
      <c r="L498" s="1405"/>
      <c r="M498" s="1405"/>
      <c r="S498" s="1731"/>
    </row>
    <row r="499" spans="1:19" x14ac:dyDescent="0.2">
      <c r="A499" s="1402"/>
      <c r="B499" s="1405"/>
      <c r="C499" s="1407"/>
      <c r="D499" s="1405"/>
      <c r="E499" s="1405"/>
      <c r="F499" s="1405"/>
      <c r="G499" s="1405"/>
      <c r="H499" s="1405"/>
      <c r="I499" s="1405"/>
      <c r="J499" s="1405"/>
      <c r="K499" s="1405"/>
      <c r="L499" s="1405"/>
      <c r="M499" s="1405"/>
      <c r="S499" s="1731"/>
    </row>
    <row r="500" spans="1:19" x14ac:dyDescent="0.2">
      <c r="A500" s="1402"/>
      <c r="B500" s="1405"/>
      <c r="C500" s="1407"/>
      <c r="D500" s="1405"/>
      <c r="E500" s="1405"/>
      <c r="F500" s="1405"/>
      <c r="G500" s="1405"/>
      <c r="H500" s="1405"/>
      <c r="I500" s="1405"/>
      <c r="J500" s="1405"/>
      <c r="K500" s="1405"/>
      <c r="L500" s="1405"/>
      <c r="M500" s="1405"/>
      <c r="S500" s="1731"/>
    </row>
    <row r="501" spans="1:19" x14ac:dyDescent="0.2">
      <c r="A501" s="1402"/>
      <c r="B501" s="1405"/>
      <c r="C501" s="1407"/>
      <c r="D501" s="1405"/>
      <c r="E501" s="1405"/>
      <c r="F501" s="1405"/>
      <c r="G501" s="1405"/>
      <c r="H501" s="1405"/>
      <c r="I501" s="1405"/>
      <c r="J501" s="1405"/>
      <c r="K501" s="1405"/>
      <c r="L501" s="1405"/>
      <c r="M501" s="1405"/>
      <c r="S501" s="1731"/>
    </row>
    <row r="502" spans="1:19" x14ac:dyDescent="0.2">
      <c r="A502" s="1402"/>
      <c r="B502" s="1405"/>
      <c r="C502" s="1407"/>
      <c r="D502" s="1405"/>
      <c r="E502" s="1405"/>
      <c r="F502" s="1405"/>
      <c r="G502" s="1405"/>
      <c r="H502" s="1405"/>
      <c r="I502" s="1405"/>
      <c r="J502" s="1405"/>
      <c r="K502" s="1405"/>
      <c r="L502" s="1405"/>
      <c r="M502" s="1405"/>
      <c r="S502" s="1731"/>
    </row>
    <row r="503" spans="1:19" x14ac:dyDescent="0.2">
      <c r="A503" s="1402"/>
      <c r="B503" s="1405"/>
      <c r="C503" s="1407"/>
      <c r="D503" s="1405"/>
      <c r="E503" s="1405"/>
      <c r="F503" s="1405"/>
      <c r="G503" s="1405"/>
      <c r="H503" s="1405"/>
      <c r="I503" s="1405"/>
      <c r="J503" s="1405"/>
      <c r="K503" s="1405"/>
      <c r="L503" s="1405"/>
      <c r="M503" s="1405"/>
      <c r="S503" s="1731"/>
    </row>
    <row r="504" spans="1:19" x14ac:dyDescent="0.2">
      <c r="A504" s="1402"/>
      <c r="B504" s="1405"/>
      <c r="C504" s="1407"/>
      <c r="D504" s="1405"/>
      <c r="E504" s="1405"/>
      <c r="F504" s="1405"/>
      <c r="G504" s="1405"/>
      <c r="H504" s="1405"/>
      <c r="I504" s="1405"/>
      <c r="J504" s="1405"/>
      <c r="K504" s="1405"/>
      <c r="L504" s="1405"/>
      <c r="M504" s="1405"/>
      <c r="S504" s="1731"/>
    </row>
    <row r="505" spans="1:19" x14ac:dyDescent="0.2">
      <c r="A505" s="1402"/>
      <c r="B505" s="1405"/>
      <c r="C505" s="1407"/>
      <c r="D505" s="1405"/>
      <c r="E505" s="1405"/>
      <c r="F505" s="1405"/>
      <c r="G505" s="1405"/>
      <c r="H505" s="1405"/>
      <c r="I505" s="1405"/>
      <c r="J505" s="1405"/>
      <c r="K505" s="1405"/>
      <c r="L505" s="1405"/>
      <c r="M505" s="1405"/>
      <c r="S505" s="1731"/>
    </row>
    <row r="506" spans="1:19" x14ac:dyDescent="0.2">
      <c r="A506" s="1402"/>
      <c r="B506" s="1405"/>
      <c r="C506" s="1407"/>
      <c r="D506" s="1405"/>
      <c r="E506" s="1405"/>
      <c r="F506" s="1405"/>
      <c r="G506" s="1405"/>
      <c r="H506" s="1405"/>
      <c r="I506" s="1405"/>
      <c r="J506" s="1405"/>
      <c r="K506" s="1405"/>
      <c r="L506" s="1405"/>
      <c r="M506" s="1405"/>
      <c r="S506" s="1731"/>
    </row>
    <row r="507" spans="1:19" x14ac:dyDescent="0.2">
      <c r="A507" s="1402"/>
      <c r="B507" s="1405"/>
      <c r="C507" s="1407"/>
      <c r="D507" s="1405"/>
      <c r="E507" s="1405"/>
      <c r="F507" s="1405"/>
      <c r="G507" s="1405"/>
      <c r="H507" s="1405"/>
      <c r="I507" s="1405"/>
      <c r="J507" s="1405"/>
      <c r="K507" s="1405"/>
      <c r="L507" s="1405"/>
      <c r="M507" s="1405"/>
      <c r="S507" s="1731"/>
    </row>
    <row r="508" spans="1:19" x14ac:dyDescent="0.2">
      <c r="A508" s="1402"/>
      <c r="B508" s="1405"/>
      <c r="C508" s="1407"/>
      <c r="D508" s="1405"/>
      <c r="E508" s="1405"/>
      <c r="F508" s="1405"/>
      <c r="G508" s="1405"/>
      <c r="H508" s="1405"/>
      <c r="I508" s="1405"/>
      <c r="J508" s="1405"/>
      <c r="K508" s="1405"/>
      <c r="L508" s="1405"/>
      <c r="M508" s="1405"/>
      <c r="S508" s="1731"/>
    </row>
    <row r="509" spans="1:19" x14ac:dyDescent="0.2">
      <c r="A509" s="1402"/>
      <c r="B509" s="1405"/>
      <c r="C509" s="1407"/>
      <c r="D509" s="1405"/>
      <c r="E509" s="1405"/>
      <c r="F509" s="1405"/>
      <c r="G509" s="1405"/>
      <c r="H509" s="1405"/>
      <c r="I509" s="1405"/>
      <c r="J509" s="1405"/>
      <c r="K509" s="1405"/>
      <c r="L509" s="1405"/>
      <c r="M509" s="1405"/>
      <c r="S509" s="1731"/>
    </row>
    <row r="510" spans="1:19" x14ac:dyDescent="0.2">
      <c r="A510" s="1402"/>
      <c r="B510" s="1405"/>
      <c r="C510" s="1407"/>
      <c r="D510" s="1405"/>
      <c r="E510" s="1405"/>
      <c r="F510" s="1405"/>
      <c r="G510" s="1405"/>
      <c r="H510" s="1405"/>
      <c r="I510" s="1405"/>
      <c r="J510" s="1405"/>
      <c r="K510" s="1405"/>
      <c r="L510" s="1405"/>
      <c r="M510" s="1405"/>
      <c r="S510" s="1731"/>
    </row>
    <row r="511" spans="1:19" x14ac:dyDescent="0.2">
      <c r="A511" s="1402"/>
      <c r="B511" s="1405"/>
      <c r="C511" s="1407"/>
      <c r="D511" s="1405"/>
      <c r="E511" s="1405"/>
      <c r="F511" s="1405"/>
      <c r="G511" s="1405"/>
      <c r="H511" s="1405"/>
      <c r="I511" s="1405"/>
      <c r="J511" s="1405"/>
      <c r="K511" s="1405"/>
      <c r="L511" s="1405"/>
      <c r="M511" s="1405"/>
      <c r="S511" s="1731"/>
    </row>
    <row r="512" spans="1:19" x14ac:dyDescent="0.2">
      <c r="A512" s="1402"/>
      <c r="B512" s="1405"/>
      <c r="C512" s="1407"/>
      <c r="D512" s="1405"/>
      <c r="E512" s="1405"/>
      <c r="F512" s="1405"/>
      <c r="G512" s="1405"/>
      <c r="H512" s="1405"/>
      <c r="I512" s="1405"/>
      <c r="J512" s="1405"/>
      <c r="K512" s="1405"/>
      <c r="L512" s="1405"/>
      <c r="M512" s="1405"/>
      <c r="S512" s="1731"/>
    </row>
    <row r="513" spans="1:19" x14ac:dyDescent="0.2">
      <c r="A513" s="1402"/>
      <c r="B513" s="1405"/>
      <c r="C513" s="1407"/>
      <c r="D513" s="1405"/>
      <c r="E513" s="1405"/>
      <c r="F513" s="1405"/>
      <c r="G513" s="1405"/>
      <c r="H513" s="1405"/>
      <c r="I513" s="1405"/>
      <c r="J513" s="1405"/>
      <c r="K513" s="1405"/>
      <c r="L513" s="1405"/>
      <c r="M513" s="1405"/>
      <c r="S513" s="1731"/>
    </row>
    <row r="514" spans="1:19" x14ac:dyDescent="0.2">
      <c r="A514" s="1402"/>
      <c r="B514" s="1405"/>
      <c r="C514" s="1407"/>
      <c r="D514" s="1405"/>
      <c r="E514" s="1405"/>
      <c r="F514" s="1405"/>
      <c r="G514" s="1405"/>
      <c r="H514" s="1405"/>
      <c r="I514" s="1405"/>
      <c r="J514" s="1405"/>
      <c r="K514" s="1405"/>
      <c r="L514" s="1405"/>
      <c r="M514" s="1405"/>
      <c r="S514" s="1731"/>
    </row>
    <row r="515" spans="1:19" x14ac:dyDescent="0.2">
      <c r="A515" s="1402"/>
      <c r="B515" s="1405"/>
      <c r="C515" s="1407"/>
      <c r="D515" s="1405"/>
      <c r="E515" s="1405"/>
      <c r="F515" s="1405"/>
      <c r="G515" s="1405"/>
      <c r="H515" s="1405"/>
      <c r="I515" s="1405"/>
      <c r="J515" s="1405"/>
      <c r="K515" s="1405"/>
      <c r="L515" s="1405"/>
      <c r="M515" s="1405"/>
      <c r="S515" s="1731"/>
    </row>
    <row r="516" spans="1:19" x14ac:dyDescent="0.2">
      <c r="A516" s="1402"/>
      <c r="B516" s="1405"/>
      <c r="C516" s="1407"/>
      <c r="D516" s="1405"/>
      <c r="E516" s="1405"/>
      <c r="F516" s="1405"/>
      <c r="G516" s="1405"/>
      <c r="H516" s="1405"/>
      <c r="I516" s="1405"/>
      <c r="J516" s="1405"/>
      <c r="K516" s="1405"/>
      <c r="L516" s="1405"/>
      <c r="M516" s="1405"/>
      <c r="S516" s="1731"/>
    </row>
    <row r="517" spans="1:19" x14ac:dyDescent="0.2">
      <c r="A517" s="1402"/>
      <c r="B517" s="1405"/>
      <c r="C517" s="1407"/>
      <c r="D517" s="1405"/>
      <c r="E517" s="1405"/>
      <c r="F517" s="1405"/>
      <c r="G517" s="1405"/>
      <c r="H517" s="1405"/>
      <c r="I517" s="1405"/>
      <c r="J517" s="1405"/>
      <c r="K517" s="1405"/>
      <c r="L517" s="1405"/>
      <c r="M517" s="1405"/>
      <c r="S517" s="1731"/>
    </row>
    <row r="518" spans="1:19" x14ac:dyDescent="0.2">
      <c r="A518" s="1402"/>
      <c r="B518" s="1405"/>
      <c r="C518" s="1407"/>
      <c r="D518" s="1405"/>
      <c r="E518" s="1405"/>
      <c r="F518" s="1405"/>
      <c r="G518" s="1405"/>
      <c r="H518" s="1405"/>
      <c r="I518" s="1405"/>
      <c r="J518" s="1405"/>
      <c r="K518" s="1405"/>
      <c r="L518" s="1405"/>
      <c r="M518" s="1405"/>
      <c r="S518" s="1731"/>
    </row>
    <row r="519" spans="1:19" x14ac:dyDescent="0.2">
      <c r="A519" s="1402"/>
      <c r="B519" s="1405"/>
      <c r="C519" s="1407"/>
      <c r="D519" s="1405"/>
      <c r="E519" s="1405"/>
      <c r="F519" s="1405"/>
      <c r="G519" s="1405"/>
      <c r="H519" s="1405"/>
      <c r="I519" s="1405"/>
      <c r="J519" s="1405"/>
      <c r="K519" s="1405"/>
      <c r="L519" s="1405"/>
      <c r="M519" s="1405"/>
      <c r="S519" s="1731"/>
    </row>
    <row r="520" spans="1:19" x14ac:dyDescent="0.2">
      <c r="A520" s="1402"/>
      <c r="B520" s="1405"/>
      <c r="C520" s="1407"/>
      <c r="D520" s="1405"/>
      <c r="E520" s="1405"/>
      <c r="F520" s="1405"/>
      <c r="G520" s="1405"/>
      <c r="H520" s="1405"/>
      <c r="I520" s="1405"/>
      <c r="J520" s="1405"/>
      <c r="K520" s="1405"/>
      <c r="L520" s="1405"/>
      <c r="M520" s="1405"/>
      <c r="S520" s="1731"/>
    </row>
    <row r="521" spans="1:19" x14ac:dyDescent="0.2">
      <c r="A521" s="1402"/>
      <c r="B521" s="1405"/>
      <c r="C521" s="1407"/>
      <c r="D521" s="1405"/>
      <c r="E521" s="1405"/>
      <c r="F521" s="1405"/>
      <c r="G521" s="1405"/>
      <c r="H521" s="1405"/>
      <c r="I521" s="1405"/>
      <c r="J521" s="1405"/>
      <c r="K521" s="1405"/>
      <c r="L521" s="1405"/>
      <c r="M521" s="1405"/>
      <c r="S521" s="1731"/>
    </row>
    <row r="522" spans="1:19" x14ac:dyDescent="0.2">
      <c r="A522" s="1402"/>
      <c r="B522" s="1405"/>
      <c r="C522" s="1407"/>
      <c r="D522" s="1405"/>
      <c r="E522" s="1405"/>
      <c r="F522" s="1405"/>
      <c r="G522" s="1405"/>
      <c r="H522" s="1405"/>
      <c r="I522" s="1405"/>
      <c r="J522" s="1405"/>
      <c r="K522" s="1405"/>
      <c r="L522" s="1405"/>
      <c r="M522" s="1405"/>
      <c r="S522" s="1731"/>
    </row>
    <row r="523" spans="1:19" x14ac:dyDescent="0.2">
      <c r="A523" s="1402"/>
      <c r="B523" s="1405"/>
      <c r="C523" s="1407"/>
      <c r="D523" s="1405"/>
      <c r="E523" s="1405"/>
      <c r="F523" s="1405"/>
      <c r="G523" s="1405"/>
      <c r="H523" s="1405"/>
      <c r="I523" s="1405"/>
      <c r="J523" s="1405"/>
      <c r="K523" s="1405"/>
      <c r="L523" s="1405"/>
      <c r="M523" s="1405"/>
      <c r="S523" s="1731"/>
    </row>
    <row r="524" spans="1:19" x14ac:dyDescent="0.2">
      <c r="A524" s="1402"/>
      <c r="B524" s="1405"/>
      <c r="C524" s="1407"/>
      <c r="D524" s="1405"/>
      <c r="E524" s="1405"/>
      <c r="F524" s="1405"/>
      <c r="G524" s="1405"/>
      <c r="H524" s="1405"/>
      <c r="I524" s="1405"/>
      <c r="J524" s="1405"/>
      <c r="K524" s="1405"/>
      <c r="L524" s="1405"/>
      <c r="M524" s="1405"/>
      <c r="S524" s="1731"/>
    </row>
    <row r="525" spans="1:19" x14ac:dyDescent="0.2">
      <c r="A525" s="1402"/>
      <c r="B525" s="1405"/>
      <c r="C525" s="1407"/>
      <c r="D525" s="1405"/>
      <c r="E525" s="1405"/>
      <c r="F525" s="1405"/>
      <c r="G525" s="1405"/>
      <c r="H525" s="1405"/>
      <c r="I525" s="1405"/>
      <c r="J525" s="1405"/>
      <c r="K525" s="1405"/>
      <c r="L525" s="1405"/>
      <c r="M525" s="1405"/>
      <c r="S525" s="1731"/>
    </row>
    <row r="526" spans="1:19" x14ac:dyDescent="0.2">
      <c r="A526" s="1402"/>
      <c r="B526" s="1405"/>
      <c r="C526" s="1407"/>
      <c r="D526" s="1405"/>
      <c r="E526" s="1405"/>
      <c r="F526" s="1405"/>
      <c r="G526" s="1405"/>
      <c r="H526" s="1405"/>
      <c r="I526" s="1405"/>
      <c r="J526" s="1405"/>
      <c r="K526" s="1405"/>
      <c r="L526" s="1405"/>
      <c r="M526" s="1405"/>
      <c r="S526" s="1731"/>
    </row>
    <row r="527" spans="1:19" x14ac:dyDescent="0.2">
      <c r="A527" s="1402"/>
      <c r="B527" s="1405"/>
      <c r="C527" s="1407"/>
      <c r="D527" s="1405"/>
      <c r="E527" s="1405"/>
      <c r="F527" s="1405"/>
      <c r="G527" s="1405"/>
      <c r="H527" s="1405"/>
      <c r="I527" s="1405"/>
      <c r="J527" s="1405"/>
      <c r="K527" s="1405"/>
      <c r="L527" s="1405"/>
      <c r="M527" s="1405"/>
      <c r="S527" s="1731"/>
    </row>
    <row r="528" spans="1:19" x14ac:dyDescent="0.2">
      <c r="A528" s="1402"/>
      <c r="B528" s="1405"/>
      <c r="C528" s="1407"/>
      <c r="D528" s="1405"/>
      <c r="E528" s="1405"/>
      <c r="F528" s="1405"/>
      <c r="G528" s="1405"/>
      <c r="H528" s="1405"/>
      <c r="I528" s="1405"/>
      <c r="J528" s="1405"/>
      <c r="K528" s="1405"/>
      <c r="L528" s="1405"/>
      <c r="M528" s="1405"/>
      <c r="S528" s="1731"/>
    </row>
    <row r="529" spans="1:19" x14ac:dyDescent="0.2">
      <c r="A529" s="1402"/>
      <c r="B529" s="1405"/>
      <c r="C529" s="1407"/>
      <c r="D529" s="1405"/>
      <c r="E529" s="1405"/>
      <c r="F529" s="1405"/>
      <c r="G529" s="1405"/>
      <c r="H529" s="1405"/>
      <c r="I529" s="1405"/>
      <c r="J529" s="1405"/>
      <c r="K529" s="1405"/>
      <c r="L529" s="1405"/>
      <c r="M529" s="1405"/>
      <c r="S529" s="1731"/>
    </row>
    <row r="530" spans="1:19" x14ac:dyDescent="0.2">
      <c r="A530" s="1402"/>
      <c r="B530" s="1405"/>
      <c r="C530" s="1407"/>
      <c r="D530" s="1405"/>
      <c r="E530" s="1405"/>
      <c r="F530" s="1405"/>
      <c r="G530" s="1405"/>
      <c r="H530" s="1405"/>
      <c r="I530" s="1405"/>
      <c r="J530" s="1405"/>
      <c r="K530" s="1405"/>
      <c r="L530" s="1405"/>
      <c r="M530" s="1405"/>
      <c r="S530" s="1731"/>
    </row>
    <row r="531" spans="1:19" x14ac:dyDescent="0.2">
      <c r="A531" s="1402"/>
      <c r="B531" s="1405"/>
      <c r="C531" s="1407"/>
      <c r="D531" s="1405"/>
      <c r="E531" s="1405"/>
      <c r="F531" s="1405"/>
      <c r="G531" s="1405"/>
      <c r="H531" s="1405"/>
      <c r="I531" s="1405"/>
      <c r="J531" s="1405"/>
      <c r="K531" s="1405"/>
      <c r="L531" s="1405"/>
      <c r="M531" s="1405"/>
      <c r="S531" s="1731"/>
    </row>
    <row r="532" spans="1:19" x14ac:dyDescent="0.2">
      <c r="A532" s="1402"/>
      <c r="B532" s="1405"/>
      <c r="C532" s="1407"/>
      <c r="D532" s="1405"/>
      <c r="E532" s="1405"/>
      <c r="F532" s="1405"/>
      <c r="G532" s="1405"/>
      <c r="H532" s="1405"/>
      <c r="I532" s="1405"/>
      <c r="J532" s="1405"/>
      <c r="K532" s="1405"/>
      <c r="L532" s="1405"/>
      <c r="M532" s="1405"/>
      <c r="S532" s="1731"/>
    </row>
    <row r="533" spans="1:19" x14ac:dyDescent="0.2">
      <c r="A533" s="1402"/>
      <c r="B533" s="1405"/>
      <c r="C533" s="1407"/>
      <c r="D533" s="1405"/>
      <c r="E533" s="1405"/>
      <c r="F533" s="1405"/>
      <c r="G533" s="1405"/>
      <c r="H533" s="1405"/>
      <c r="I533" s="1405"/>
      <c r="J533" s="1405"/>
      <c r="K533" s="1405"/>
      <c r="L533" s="1405"/>
      <c r="M533" s="1405"/>
      <c r="S533" s="1731"/>
    </row>
    <row r="534" spans="1:19" x14ac:dyDescent="0.2">
      <c r="A534" s="1402"/>
      <c r="B534" s="1405"/>
      <c r="C534" s="1407"/>
      <c r="D534" s="1405"/>
      <c r="E534" s="1405"/>
      <c r="F534" s="1405"/>
      <c r="G534" s="1405"/>
      <c r="H534" s="1405"/>
      <c r="I534" s="1405"/>
      <c r="J534" s="1405"/>
      <c r="K534" s="1405"/>
      <c r="L534" s="1405"/>
      <c r="M534" s="1405"/>
      <c r="S534" s="1731"/>
    </row>
    <row r="535" spans="1:19" x14ac:dyDescent="0.2">
      <c r="A535" s="1402"/>
      <c r="B535" s="1405"/>
      <c r="C535" s="1407"/>
      <c r="D535" s="1405"/>
      <c r="E535" s="1405"/>
      <c r="F535" s="1405"/>
      <c r="G535" s="1405"/>
      <c r="H535" s="1405"/>
      <c r="I535" s="1405"/>
      <c r="J535" s="1405"/>
      <c r="K535" s="1405"/>
      <c r="L535" s="1405"/>
      <c r="M535" s="1405"/>
      <c r="S535" s="1731"/>
    </row>
    <row r="536" spans="1:19" x14ac:dyDescent="0.2">
      <c r="A536" s="1402"/>
      <c r="B536" s="1405"/>
      <c r="C536" s="1407"/>
      <c r="D536" s="1405"/>
      <c r="E536" s="1405"/>
      <c r="F536" s="1405"/>
      <c r="G536" s="1405"/>
      <c r="H536" s="1405"/>
      <c r="I536" s="1405"/>
      <c r="J536" s="1405"/>
      <c r="K536" s="1405"/>
      <c r="L536" s="1405"/>
      <c r="M536" s="1405"/>
      <c r="S536" s="1731"/>
    </row>
    <row r="537" spans="1:19" x14ac:dyDescent="0.2">
      <c r="A537" s="1402"/>
      <c r="B537" s="1405"/>
      <c r="C537" s="1407"/>
      <c r="D537" s="1405"/>
      <c r="E537" s="1405"/>
      <c r="F537" s="1405"/>
      <c r="G537" s="1405"/>
      <c r="H537" s="1405"/>
      <c r="I537" s="1405"/>
      <c r="J537" s="1405"/>
      <c r="K537" s="1405"/>
      <c r="L537" s="1405"/>
      <c r="M537" s="1405"/>
      <c r="S537" s="1731"/>
    </row>
    <row r="538" spans="1:19" x14ac:dyDescent="0.2">
      <c r="A538" s="1402"/>
      <c r="B538" s="1405"/>
      <c r="C538" s="1407"/>
      <c r="D538" s="1405"/>
      <c r="E538" s="1405"/>
      <c r="F538" s="1405"/>
      <c r="G538" s="1405"/>
      <c r="H538" s="1405"/>
      <c r="I538" s="1405"/>
      <c r="J538" s="1405"/>
      <c r="K538" s="1405"/>
      <c r="L538" s="1405"/>
      <c r="M538" s="1405"/>
      <c r="S538" s="1731"/>
    </row>
    <row r="539" spans="1:19" x14ac:dyDescent="0.2">
      <c r="A539" s="1402"/>
      <c r="B539" s="1405"/>
      <c r="C539" s="1407"/>
      <c r="D539" s="1405"/>
      <c r="E539" s="1405"/>
      <c r="F539" s="1405"/>
      <c r="G539" s="1405"/>
      <c r="H539" s="1405"/>
      <c r="I539" s="1405"/>
      <c r="J539" s="1405"/>
      <c r="K539" s="1405"/>
      <c r="L539" s="1405"/>
      <c r="M539" s="1405"/>
      <c r="S539" s="1731"/>
    </row>
    <row r="540" spans="1:19" x14ac:dyDescent="0.2">
      <c r="A540" s="1402"/>
      <c r="B540" s="1405"/>
      <c r="C540" s="1407"/>
      <c r="D540" s="1405"/>
      <c r="E540" s="1405"/>
      <c r="F540" s="1405"/>
      <c r="G540" s="1405"/>
      <c r="H540" s="1405"/>
      <c r="I540" s="1405"/>
      <c r="J540" s="1405"/>
      <c r="K540" s="1405"/>
      <c r="L540" s="1405"/>
      <c r="M540" s="1405"/>
      <c r="S540" s="1731"/>
    </row>
    <row r="541" spans="1:19" x14ac:dyDescent="0.2">
      <c r="A541" s="1402"/>
      <c r="B541" s="1405"/>
      <c r="C541" s="1407"/>
      <c r="D541" s="1405"/>
      <c r="E541" s="1405"/>
      <c r="F541" s="1405"/>
      <c r="G541" s="1405"/>
      <c r="H541" s="1405"/>
      <c r="I541" s="1405"/>
      <c r="J541" s="1405"/>
      <c r="K541" s="1405"/>
      <c r="L541" s="1405"/>
      <c r="M541" s="1405"/>
      <c r="S541" s="1731"/>
    </row>
    <row r="542" spans="1:19" x14ac:dyDescent="0.2">
      <c r="A542" s="1402"/>
      <c r="B542" s="1405"/>
      <c r="C542" s="1407"/>
      <c r="D542" s="1405"/>
      <c r="E542" s="1405"/>
      <c r="F542" s="1405"/>
      <c r="G542" s="1405"/>
      <c r="H542" s="1405"/>
      <c r="I542" s="1405"/>
      <c r="J542" s="1405"/>
      <c r="K542" s="1405"/>
      <c r="L542" s="1405"/>
      <c r="M542" s="1405"/>
      <c r="S542" s="1731"/>
    </row>
    <row r="543" spans="1:19" x14ac:dyDescent="0.2">
      <c r="A543" s="1402"/>
      <c r="B543" s="1405"/>
      <c r="C543" s="1407"/>
      <c r="D543" s="1405"/>
      <c r="E543" s="1405"/>
      <c r="F543" s="1405"/>
      <c r="G543" s="1405"/>
      <c r="H543" s="1405"/>
      <c r="I543" s="1405"/>
      <c r="J543" s="1405"/>
      <c r="K543" s="1405"/>
      <c r="L543" s="1405"/>
      <c r="M543" s="1405"/>
      <c r="S543" s="1731"/>
    </row>
    <row r="544" spans="1:19" x14ac:dyDescent="0.2">
      <c r="A544" s="1402"/>
      <c r="B544" s="1405"/>
      <c r="C544" s="1407"/>
      <c r="D544" s="1405"/>
      <c r="E544" s="1405"/>
      <c r="F544" s="1405"/>
      <c r="G544" s="1405"/>
      <c r="H544" s="1405"/>
      <c r="I544" s="1405"/>
      <c r="J544" s="1405"/>
      <c r="K544" s="1405"/>
      <c r="L544" s="1405"/>
      <c r="M544" s="1405"/>
      <c r="S544" s="1731"/>
    </row>
    <row r="545" spans="1:19" x14ac:dyDescent="0.2">
      <c r="A545" s="1402"/>
      <c r="B545" s="1405"/>
      <c r="C545" s="1407"/>
      <c r="D545" s="1405"/>
      <c r="E545" s="1405"/>
      <c r="F545" s="1405"/>
      <c r="G545" s="1405"/>
      <c r="H545" s="1405"/>
      <c r="I545" s="1405"/>
      <c r="J545" s="1405"/>
      <c r="K545" s="1405"/>
      <c r="L545" s="1405"/>
      <c r="M545" s="1405"/>
      <c r="S545" s="1731"/>
    </row>
    <row r="546" spans="1:19" x14ac:dyDescent="0.2">
      <c r="A546" s="1402"/>
      <c r="B546" s="1405"/>
      <c r="C546" s="1407"/>
      <c r="D546" s="1405"/>
      <c r="E546" s="1405"/>
      <c r="F546" s="1405"/>
      <c r="G546" s="1405"/>
      <c r="H546" s="1405"/>
      <c r="I546" s="1405"/>
      <c r="J546" s="1405"/>
      <c r="K546" s="1405"/>
      <c r="L546" s="1405"/>
      <c r="M546" s="1405"/>
      <c r="S546" s="1731"/>
    </row>
    <row r="547" spans="1:19" x14ac:dyDescent="0.2">
      <c r="A547" s="1402"/>
      <c r="B547" s="1405"/>
      <c r="C547" s="1407"/>
      <c r="D547" s="1405"/>
      <c r="E547" s="1405"/>
      <c r="F547" s="1405"/>
      <c r="G547" s="1405"/>
      <c r="H547" s="1405"/>
      <c r="I547" s="1405"/>
      <c r="J547" s="1405"/>
      <c r="K547" s="1405"/>
      <c r="L547" s="1405"/>
      <c r="M547" s="1405"/>
      <c r="S547" s="1731"/>
    </row>
    <row r="548" spans="1:19" x14ac:dyDescent="0.2">
      <c r="A548" s="1402"/>
      <c r="B548" s="1405"/>
      <c r="C548" s="1407"/>
      <c r="D548" s="1405"/>
      <c r="E548" s="1405"/>
      <c r="F548" s="1405"/>
      <c r="G548" s="1405"/>
      <c r="H548" s="1405"/>
      <c r="I548" s="1405"/>
      <c r="J548" s="1405"/>
      <c r="K548" s="1405"/>
      <c r="L548" s="1405"/>
      <c r="M548" s="1405"/>
      <c r="S548" s="1731"/>
    </row>
    <row r="549" spans="1:19" x14ac:dyDescent="0.2">
      <c r="A549" s="1402"/>
      <c r="B549" s="1405"/>
      <c r="C549" s="1407"/>
      <c r="D549" s="1405"/>
      <c r="E549" s="1405"/>
      <c r="F549" s="1405"/>
      <c r="G549" s="1405"/>
      <c r="H549" s="1405"/>
      <c r="I549" s="1405"/>
      <c r="J549" s="1405"/>
      <c r="K549" s="1405"/>
      <c r="L549" s="1405"/>
      <c r="M549" s="1405"/>
      <c r="S549" s="1731"/>
    </row>
    <row r="550" spans="1:19" x14ac:dyDescent="0.2">
      <c r="A550" s="1402"/>
      <c r="B550" s="1405"/>
      <c r="C550" s="1407"/>
      <c r="D550" s="1405"/>
      <c r="E550" s="1405"/>
      <c r="F550" s="1405"/>
      <c r="G550" s="1405"/>
      <c r="H550" s="1405"/>
      <c r="I550" s="1405"/>
      <c r="J550" s="1405"/>
      <c r="K550" s="1405"/>
      <c r="L550" s="1405"/>
      <c r="M550" s="1405"/>
      <c r="S550" s="1731"/>
    </row>
    <row r="551" spans="1:19" x14ac:dyDescent="0.2">
      <c r="A551" s="1402"/>
      <c r="B551" s="1405"/>
      <c r="C551" s="1407"/>
      <c r="D551" s="1405"/>
      <c r="E551" s="1405"/>
      <c r="F551" s="1405"/>
      <c r="G551" s="1405"/>
      <c r="H551" s="1405"/>
      <c r="I551" s="1405"/>
      <c r="J551" s="1405"/>
      <c r="K551" s="1405"/>
      <c r="L551" s="1405"/>
      <c r="M551" s="1405"/>
      <c r="S551" s="1731"/>
    </row>
    <row r="552" spans="1:19" x14ac:dyDescent="0.2">
      <c r="A552" s="1402"/>
      <c r="B552" s="1405"/>
      <c r="C552" s="1407"/>
      <c r="D552" s="1405"/>
      <c r="E552" s="1405"/>
      <c r="F552" s="1405"/>
      <c r="G552" s="1405"/>
      <c r="H552" s="1405"/>
      <c r="I552" s="1405"/>
      <c r="J552" s="1405"/>
      <c r="K552" s="1405"/>
      <c r="L552" s="1405"/>
      <c r="M552" s="1405"/>
      <c r="S552" s="1731"/>
    </row>
    <row r="553" spans="1:19" x14ac:dyDescent="0.2">
      <c r="A553" s="1402"/>
      <c r="B553" s="1405"/>
      <c r="C553" s="1407"/>
      <c r="D553" s="1405"/>
      <c r="E553" s="1405"/>
      <c r="F553" s="1405"/>
      <c r="G553" s="1405"/>
      <c r="H553" s="1405"/>
      <c r="I553" s="1405"/>
      <c r="J553" s="1405"/>
      <c r="K553" s="1405"/>
      <c r="L553" s="1405"/>
      <c r="M553" s="1405"/>
      <c r="S553" s="1731"/>
    </row>
    <row r="554" spans="1:19" x14ac:dyDescent="0.2">
      <c r="A554" s="1402"/>
      <c r="B554" s="1405"/>
      <c r="C554" s="1407"/>
      <c r="D554" s="1405"/>
      <c r="E554" s="1405"/>
      <c r="F554" s="1405"/>
      <c r="G554" s="1405"/>
      <c r="H554" s="1405"/>
      <c r="I554" s="1405"/>
      <c r="J554" s="1405"/>
      <c r="K554" s="1405"/>
      <c r="L554" s="1405"/>
      <c r="M554" s="1405"/>
      <c r="S554" s="1731"/>
    </row>
    <row r="555" spans="1:19" x14ac:dyDescent="0.2">
      <c r="A555" s="1402"/>
      <c r="B555" s="1405"/>
      <c r="C555" s="1407"/>
      <c r="D555" s="1405"/>
      <c r="E555" s="1405"/>
      <c r="F555" s="1405"/>
      <c r="G555" s="1405"/>
      <c r="H555" s="1405"/>
      <c r="I555" s="1405"/>
      <c r="J555" s="1405"/>
      <c r="K555" s="1405"/>
      <c r="L555" s="1405"/>
      <c r="M555" s="1405"/>
      <c r="S555" s="1731"/>
    </row>
    <row r="556" spans="1:19" x14ac:dyDescent="0.2">
      <c r="A556" s="1402"/>
      <c r="B556" s="1405"/>
      <c r="C556" s="1407"/>
      <c r="D556" s="1405"/>
      <c r="E556" s="1405"/>
      <c r="F556" s="1405"/>
      <c r="G556" s="1405"/>
      <c r="H556" s="1405"/>
      <c r="I556" s="1405"/>
      <c r="J556" s="1405"/>
      <c r="K556" s="1405"/>
      <c r="L556" s="1405"/>
      <c r="M556" s="1405"/>
      <c r="S556" s="1731"/>
    </row>
    <row r="557" spans="1:19" x14ac:dyDescent="0.2">
      <c r="A557" s="1402"/>
      <c r="B557" s="1405"/>
      <c r="C557" s="1407"/>
      <c r="D557" s="1405"/>
      <c r="E557" s="1405"/>
      <c r="F557" s="1405"/>
      <c r="G557" s="1405"/>
      <c r="H557" s="1405"/>
      <c r="I557" s="1405"/>
      <c r="J557" s="1405"/>
      <c r="K557" s="1405"/>
      <c r="L557" s="1405"/>
      <c r="M557" s="1405"/>
      <c r="S557" s="1731"/>
    </row>
    <row r="558" spans="1:19" x14ac:dyDescent="0.2">
      <c r="A558" s="1402"/>
      <c r="B558" s="1405"/>
      <c r="C558" s="1407"/>
      <c r="D558" s="1405"/>
      <c r="E558" s="1405"/>
      <c r="F558" s="1405"/>
      <c r="G558" s="1405"/>
      <c r="H558" s="1405"/>
      <c r="I558" s="1405"/>
      <c r="J558" s="1405"/>
      <c r="K558" s="1405"/>
      <c r="L558" s="1405"/>
      <c r="M558" s="1405"/>
      <c r="S558" s="1731"/>
    </row>
    <row r="559" spans="1:19" x14ac:dyDescent="0.2">
      <c r="A559" s="1402"/>
      <c r="B559" s="1405"/>
      <c r="C559" s="1407"/>
      <c r="D559" s="1405"/>
      <c r="E559" s="1405"/>
      <c r="F559" s="1405"/>
      <c r="G559" s="1405"/>
      <c r="H559" s="1405"/>
      <c r="I559" s="1405"/>
      <c r="J559" s="1405"/>
      <c r="K559" s="1405"/>
      <c r="L559" s="1405"/>
      <c r="M559" s="1405"/>
      <c r="S559" s="1731"/>
    </row>
    <row r="560" spans="1:19" x14ac:dyDescent="0.2">
      <c r="A560" s="1402"/>
      <c r="B560" s="1405"/>
      <c r="C560" s="1407"/>
      <c r="D560" s="1405"/>
      <c r="E560" s="1405"/>
      <c r="F560" s="1405"/>
      <c r="G560" s="1405"/>
      <c r="H560" s="1405"/>
      <c r="I560" s="1405"/>
      <c r="J560" s="1405"/>
      <c r="K560" s="1405"/>
      <c r="L560" s="1405"/>
      <c r="M560" s="1405"/>
      <c r="S560" s="1731"/>
    </row>
    <row r="561" spans="1:19" x14ac:dyDescent="0.2">
      <c r="A561" s="1402"/>
      <c r="B561" s="1405"/>
      <c r="C561" s="1407"/>
      <c r="D561" s="1405"/>
      <c r="E561" s="1405"/>
      <c r="F561" s="1405"/>
      <c r="G561" s="1405"/>
      <c r="H561" s="1405"/>
      <c r="I561" s="1405"/>
      <c r="J561" s="1405"/>
      <c r="K561" s="1405"/>
      <c r="L561" s="1405"/>
      <c r="M561" s="1405"/>
      <c r="S561" s="1731"/>
    </row>
    <row r="562" spans="1:19" x14ac:dyDescent="0.2">
      <c r="A562" s="1402"/>
      <c r="B562" s="1405"/>
      <c r="C562" s="1407"/>
      <c r="D562" s="1405"/>
      <c r="E562" s="1405"/>
      <c r="F562" s="1405"/>
      <c r="G562" s="1405"/>
      <c r="H562" s="1405"/>
      <c r="I562" s="1405"/>
      <c r="J562" s="1405"/>
      <c r="K562" s="1405"/>
      <c r="L562" s="1405"/>
      <c r="M562" s="1405"/>
      <c r="S562" s="1731"/>
    </row>
    <row r="563" spans="1:19" x14ac:dyDescent="0.2">
      <c r="A563" s="1402"/>
      <c r="B563" s="1405"/>
      <c r="C563" s="1407"/>
      <c r="D563" s="1405"/>
      <c r="E563" s="1405"/>
      <c r="F563" s="1405"/>
      <c r="G563" s="1405"/>
      <c r="H563" s="1405"/>
      <c r="I563" s="1405"/>
      <c r="J563" s="1405"/>
      <c r="K563" s="1405"/>
      <c r="L563" s="1405"/>
      <c r="M563" s="1405"/>
      <c r="S563" s="1731"/>
    </row>
    <row r="564" spans="1:19" x14ac:dyDescent="0.2">
      <c r="A564" s="1402"/>
      <c r="B564" s="1405"/>
      <c r="C564" s="1407"/>
      <c r="D564" s="1405"/>
      <c r="E564" s="1405"/>
      <c r="F564" s="1405"/>
      <c r="G564" s="1405"/>
      <c r="H564" s="1405"/>
      <c r="I564" s="1405"/>
      <c r="J564" s="1405"/>
      <c r="K564" s="1405"/>
      <c r="L564" s="1405"/>
      <c r="M564" s="1405"/>
      <c r="S564" s="1731"/>
    </row>
    <row r="565" spans="1:19" x14ac:dyDescent="0.2">
      <c r="A565" s="1402"/>
      <c r="B565" s="1405"/>
      <c r="C565" s="1407"/>
      <c r="D565" s="1405"/>
      <c r="E565" s="1405"/>
      <c r="F565" s="1405"/>
      <c r="G565" s="1405"/>
      <c r="H565" s="1405"/>
      <c r="I565" s="1405"/>
      <c r="J565" s="1405"/>
      <c r="K565" s="1405"/>
      <c r="L565" s="1405"/>
      <c r="M565" s="1405"/>
      <c r="S565" s="1731"/>
    </row>
    <row r="566" spans="1:19" x14ac:dyDescent="0.2">
      <c r="A566" s="1402"/>
      <c r="B566" s="1405"/>
      <c r="C566" s="1407"/>
      <c r="D566" s="1405"/>
      <c r="E566" s="1405"/>
      <c r="F566" s="1405"/>
      <c r="G566" s="1405"/>
      <c r="H566" s="1405"/>
      <c r="I566" s="1405"/>
      <c r="J566" s="1405"/>
      <c r="K566" s="1405"/>
      <c r="L566" s="1405"/>
      <c r="M566" s="1405"/>
      <c r="S566" s="1731"/>
    </row>
    <row r="567" spans="1:19" x14ac:dyDescent="0.2">
      <c r="A567" s="1402"/>
      <c r="B567" s="1405"/>
      <c r="C567" s="1407"/>
      <c r="D567" s="1405"/>
      <c r="E567" s="1405"/>
      <c r="F567" s="1405"/>
      <c r="G567" s="1405"/>
      <c r="H567" s="1405"/>
      <c r="I567" s="1405"/>
      <c r="J567" s="1405"/>
      <c r="K567" s="1405"/>
      <c r="L567" s="1405"/>
      <c r="M567" s="1405"/>
      <c r="S567" s="1731"/>
    </row>
    <row r="568" spans="1:19" x14ac:dyDescent="0.2">
      <c r="A568" s="1402"/>
      <c r="B568" s="1405"/>
      <c r="C568" s="1407"/>
      <c r="D568" s="1405"/>
      <c r="E568" s="1405"/>
      <c r="F568" s="1405"/>
      <c r="G568" s="1405"/>
      <c r="H568" s="1405"/>
      <c r="I568" s="1405"/>
      <c r="J568" s="1405"/>
      <c r="K568" s="1405"/>
      <c r="L568" s="1405"/>
      <c r="M568" s="1405"/>
      <c r="S568" s="1731"/>
    </row>
    <row r="569" spans="1:19" x14ac:dyDescent="0.2">
      <c r="A569" s="1402"/>
      <c r="B569" s="1405"/>
      <c r="C569" s="1407"/>
      <c r="D569" s="1405"/>
      <c r="E569" s="1405"/>
      <c r="F569" s="1405"/>
      <c r="G569" s="1405"/>
      <c r="H569" s="1405"/>
      <c r="I569" s="1405"/>
      <c r="J569" s="1405"/>
      <c r="K569" s="1405"/>
      <c r="L569" s="1405"/>
      <c r="M569" s="1405"/>
      <c r="S569" s="1731"/>
    </row>
    <row r="570" spans="1:19" x14ac:dyDescent="0.2">
      <c r="A570" s="1402"/>
      <c r="B570" s="1405"/>
      <c r="C570" s="1407"/>
      <c r="D570" s="1405"/>
      <c r="E570" s="1405"/>
      <c r="F570" s="1405"/>
      <c r="G570" s="1405"/>
      <c r="H570" s="1405"/>
      <c r="I570" s="1405"/>
      <c r="J570" s="1405"/>
      <c r="K570" s="1405"/>
      <c r="L570" s="1405"/>
      <c r="M570" s="1405"/>
      <c r="S570" s="1731"/>
    </row>
    <row r="571" spans="1:19" x14ac:dyDescent="0.2">
      <c r="A571" s="1402"/>
      <c r="B571" s="1405"/>
      <c r="C571" s="1407"/>
      <c r="D571" s="1405"/>
      <c r="E571" s="1405"/>
      <c r="F571" s="1405"/>
      <c r="G571" s="1405"/>
      <c r="H571" s="1405"/>
      <c r="I571" s="1405"/>
      <c r="J571" s="1405"/>
      <c r="K571" s="1405"/>
      <c r="L571" s="1405"/>
      <c r="M571" s="1405"/>
      <c r="S571" s="1731"/>
    </row>
    <row r="572" spans="1:19" x14ac:dyDescent="0.2">
      <c r="A572" s="1402"/>
      <c r="B572" s="1405"/>
      <c r="C572" s="1407"/>
      <c r="D572" s="1405"/>
      <c r="E572" s="1405"/>
      <c r="F572" s="1405"/>
      <c r="G572" s="1405"/>
      <c r="H572" s="1405"/>
      <c r="I572" s="1405"/>
      <c r="J572" s="1405"/>
      <c r="K572" s="1405"/>
      <c r="L572" s="1405"/>
      <c r="M572" s="1405"/>
      <c r="S572" s="1731"/>
    </row>
    <row r="573" spans="1:19" x14ac:dyDescent="0.2">
      <c r="A573" s="1402"/>
      <c r="B573" s="1405"/>
      <c r="C573" s="1407"/>
      <c r="D573" s="1405"/>
      <c r="E573" s="1405"/>
      <c r="F573" s="1405"/>
      <c r="G573" s="1405"/>
      <c r="H573" s="1405"/>
      <c r="I573" s="1405"/>
      <c r="J573" s="1405"/>
      <c r="K573" s="1405"/>
      <c r="L573" s="1405"/>
      <c r="M573" s="1405"/>
      <c r="S573" s="1731"/>
    </row>
    <row r="574" spans="1:19" x14ac:dyDescent="0.2">
      <c r="A574" s="1402"/>
      <c r="B574" s="1405"/>
      <c r="C574" s="1407"/>
      <c r="D574" s="1405"/>
      <c r="E574" s="1405"/>
      <c r="F574" s="1405"/>
      <c r="G574" s="1405"/>
      <c r="H574" s="1405"/>
      <c r="I574" s="1405"/>
      <c r="J574" s="1405"/>
      <c r="K574" s="1405"/>
      <c r="L574" s="1405"/>
      <c r="M574" s="1405"/>
      <c r="S574" s="1731"/>
    </row>
    <row r="575" spans="1:19" x14ac:dyDescent="0.2">
      <c r="A575" s="1402"/>
      <c r="B575" s="1405"/>
      <c r="C575" s="1407"/>
      <c r="D575" s="1405"/>
      <c r="E575" s="1405"/>
      <c r="F575" s="1405"/>
      <c r="G575" s="1405"/>
      <c r="H575" s="1405"/>
      <c r="I575" s="1405"/>
      <c r="J575" s="1405"/>
      <c r="K575" s="1405"/>
      <c r="L575" s="1405"/>
      <c r="M575" s="1405"/>
      <c r="S575" s="1731"/>
    </row>
    <row r="576" spans="1:19" x14ac:dyDescent="0.2">
      <c r="A576" s="1402"/>
      <c r="B576" s="1405"/>
      <c r="C576" s="1407"/>
      <c r="D576" s="1405"/>
      <c r="E576" s="1405"/>
      <c r="F576" s="1405"/>
      <c r="G576" s="1405"/>
      <c r="H576" s="1405"/>
      <c r="I576" s="1405"/>
      <c r="J576" s="1405"/>
      <c r="K576" s="1405"/>
      <c r="L576" s="1405"/>
      <c r="M576" s="1405"/>
      <c r="S576" s="1731"/>
    </row>
    <row r="577" spans="1:19" x14ac:dyDescent="0.2">
      <c r="A577" s="1402"/>
      <c r="B577" s="1405"/>
      <c r="C577" s="1407"/>
      <c r="D577" s="1405"/>
      <c r="E577" s="1405"/>
      <c r="F577" s="1405"/>
      <c r="G577" s="1405"/>
      <c r="H577" s="1405"/>
      <c r="I577" s="1405"/>
      <c r="J577" s="1405"/>
      <c r="K577" s="1405"/>
      <c r="L577" s="1405"/>
      <c r="M577" s="1405"/>
      <c r="S577" s="1731"/>
    </row>
    <row r="578" spans="1:19" x14ac:dyDescent="0.2">
      <c r="A578" s="1402"/>
      <c r="B578" s="1405"/>
      <c r="C578" s="1407"/>
      <c r="D578" s="1405"/>
      <c r="E578" s="1405"/>
      <c r="F578" s="1405"/>
      <c r="G578" s="1405"/>
      <c r="H578" s="1405"/>
      <c r="I578" s="1405"/>
      <c r="J578" s="1405"/>
      <c r="K578" s="1405"/>
      <c r="L578" s="1405"/>
      <c r="M578" s="1405"/>
      <c r="S578" s="1731"/>
    </row>
    <row r="579" spans="1:19" x14ac:dyDescent="0.2">
      <c r="A579" s="1402"/>
      <c r="B579" s="1405"/>
      <c r="C579" s="1407"/>
      <c r="D579" s="1405"/>
      <c r="E579" s="1405"/>
      <c r="F579" s="1405"/>
      <c r="G579" s="1405"/>
      <c r="H579" s="1405"/>
      <c r="I579" s="1405"/>
      <c r="J579" s="1405"/>
      <c r="K579" s="1405"/>
      <c r="L579" s="1405"/>
      <c r="M579" s="1405"/>
      <c r="S579" s="1731"/>
    </row>
    <row r="580" spans="1:19" x14ac:dyDescent="0.2">
      <c r="A580" s="1402"/>
      <c r="B580" s="1405"/>
      <c r="C580" s="1407"/>
      <c r="D580" s="1405"/>
      <c r="E580" s="1405"/>
      <c r="F580" s="1405"/>
      <c r="G580" s="1405"/>
      <c r="H580" s="1405"/>
      <c r="I580" s="1405"/>
      <c r="J580" s="1405"/>
      <c r="K580" s="1405"/>
      <c r="L580" s="1405"/>
      <c r="M580" s="1405"/>
      <c r="S580" s="1731"/>
    </row>
    <row r="581" spans="1:19" x14ac:dyDescent="0.2">
      <c r="A581" s="1402"/>
      <c r="B581" s="1405"/>
      <c r="C581" s="1407"/>
      <c r="D581" s="1405"/>
      <c r="E581" s="1405"/>
      <c r="F581" s="1405"/>
      <c r="G581" s="1405"/>
      <c r="H581" s="1405"/>
      <c r="I581" s="1405"/>
      <c r="J581" s="1405"/>
      <c r="K581" s="1405"/>
      <c r="L581" s="1405"/>
      <c r="M581" s="1405"/>
      <c r="S581" s="1731"/>
    </row>
    <row r="582" spans="1:19" x14ac:dyDescent="0.2">
      <c r="A582" s="1402"/>
      <c r="B582" s="1405"/>
      <c r="C582" s="1407"/>
      <c r="D582" s="1405"/>
      <c r="E582" s="1405"/>
      <c r="F582" s="1405"/>
      <c r="G582" s="1405"/>
      <c r="H582" s="1405"/>
      <c r="I582" s="1405"/>
      <c r="J582" s="1405"/>
      <c r="K582" s="1405"/>
      <c r="L582" s="1405"/>
      <c r="M582" s="1405"/>
      <c r="S582" s="1731"/>
    </row>
    <row r="583" spans="1:19" x14ac:dyDescent="0.2">
      <c r="A583" s="1402"/>
      <c r="B583" s="1405"/>
      <c r="C583" s="1407"/>
      <c r="D583" s="1405"/>
      <c r="E583" s="1405"/>
      <c r="F583" s="1405"/>
      <c r="G583" s="1405"/>
      <c r="H583" s="1405"/>
      <c r="I583" s="1405"/>
      <c r="J583" s="1405"/>
      <c r="K583" s="1405"/>
      <c r="L583" s="1405"/>
      <c r="M583" s="1405"/>
      <c r="S583" s="1731"/>
    </row>
    <row r="584" spans="1:19" x14ac:dyDescent="0.2">
      <c r="A584" s="1402"/>
      <c r="B584" s="1405"/>
      <c r="C584" s="1407"/>
      <c r="D584" s="1405"/>
      <c r="E584" s="1405"/>
      <c r="F584" s="1405"/>
      <c r="G584" s="1405"/>
      <c r="H584" s="1405"/>
      <c r="I584" s="1405"/>
      <c r="J584" s="1405"/>
      <c r="K584" s="1405"/>
      <c r="L584" s="1405"/>
      <c r="M584" s="1405"/>
      <c r="S584" s="1731"/>
    </row>
    <row r="585" spans="1:19" x14ac:dyDescent="0.2">
      <c r="A585" s="1402"/>
      <c r="B585" s="1405"/>
      <c r="C585" s="1407"/>
      <c r="D585" s="1405"/>
      <c r="E585" s="1405"/>
      <c r="F585" s="1405"/>
      <c r="G585" s="1405"/>
      <c r="H585" s="1405"/>
      <c r="I585" s="1405"/>
      <c r="J585" s="1405"/>
      <c r="K585" s="1405"/>
      <c r="L585" s="1405"/>
      <c r="M585" s="1405"/>
      <c r="S585" s="1731"/>
    </row>
    <row r="586" spans="1:19" x14ac:dyDescent="0.2">
      <c r="A586" s="1402"/>
      <c r="B586" s="1405"/>
      <c r="C586" s="1407"/>
      <c r="D586" s="1405"/>
      <c r="E586" s="1405"/>
      <c r="F586" s="1405"/>
      <c r="G586" s="1405"/>
      <c r="H586" s="1405"/>
      <c r="I586" s="1405"/>
      <c r="J586" s="1405"/>
      <c r="K586" s="1405"/>
      <c r="L586" s="1405"/>
      <c r="M586" s="1405"/>
      <c r="S586" s="1731"/>
    </row>
    <row r="587" spans="1:19" x14ac:dyDescent="0.2">
      <c r="A587" s="1402"/>
      <c r="B587" s="1405"/>
      <c r="C587" s="1407"/>
      <c r="D587" s="1405"/>
      <c r="E587" s="1405"/>
      <c r="F587" s="1405"/>
      <c r="G587" s="1405"/>
      <c r="H587" s="1405"/>
      <c r="I587" s="1405"/>
      <c r="J587" s="1405"/>
      <c r="K587" s="1405"/>
      <c r="L587" s="1405"/>
      <c r="M587" s="1405"/>
      <c r="S587" s="1731"/>
    </row>
    <row r="588" spans="1:19" x14ac:dyDescent="0.2">
      <c r="A588" s="1402"/>
      <c r="B588" s="1405"/>
      <c r="C588" s="1407"/>
      <c r="D588" s="1405"/>
      <c r="E588" s="1405"/>
      <c r="F588" s="1405"/>
      <c r="G588" s="1405"/>
      <c r="H588" s="1405"/>
      <c r="I588" s="1405"/>
      <c r="J588" s="1405"/>
      <c r="K588" s="1405"/>
      <c r="L588" s="1405"/>
      <c r="M588" s="1405"/>
      <c r="S588" s="1731"/>
    </row>
    <row r="589" spans="1:19" x14ac:dyDescent="0.2">
      <c r="A589" s="1402"/>
      <c r="B589" s="1405"/>
      <c r="C589" s="1407"/>
      <c r="D589" s="1405"/>
      <c r="E589" s="1405"/>
      <c r="F589" s="1405"/>
      <c r="G589" s="1405"/>
      <c r="H589" s="1405"/>
      <c r="I589" s="1405"/>
      <c r="J589" s="1405"/>
      <c r="K589" s="1405"/>
      <c r="L589" s="1405"/>
      <c r="M589" s="1405"/>
      <c r="S589" s="1731"/>
    </row>
    <row r="590" spans="1:19" x14ac:dyDescent="0.2">
      <c r="A590" s="1402"/>
      <c r="B590" s="1405"/>
      <c r="C590" s="1407"/>
      <c r="D590" s="1405"/>
      <c r="E590" s="1405"/>
      <c r="F590" s="1405"/>
      <c r="G590" s="1405"/>
      <c r="H590" s="1405"/>
      <c r="I590" s="1405"/>
      <c r="J590" s="1405"/>
      <c r="K590" s="1405"/>
      <c r="L590" s="1405"/>
      <c r="M590" s="1405"/>
      <c r="S590" s="1731"/>
    </row>
    <row r="591" spans="1:19" x14ac:dyDescent="0.2">
      <c r="A591" s="1402"/>
      <c r="B591" s="1405"/>
      <c r="C591" s="1407"/>
      <c r="D591" s="1405"/>
      <c r="E591" s="1405"/>
      <c r="F591" s="1405"/>
      <c r="G591" s="1405"/>
      <c r="H591" s="1405"/>
      <c r="I591" s="1405"/>
      <c r="J591" s="1405"/>
      <c r="K591" s="1405"/>
      <c r="L591" s="1405"/>
      <c r="M591" s="1405"/>
      <c r="S591" s="1731"/>
    </row>
    <row r="592" spans="1:19" x14ac:dyDescent="0.2">
      <c r="A592" s="1402"/>
      <c r="B592" s="1405"/>
      <c r="C592" s="1407"/>
      <c r="D592" s="1405"/>
      <c r="E592" s="1405"/>
      <c r="F592" s="1405"/>
      <c r="G592" s="1405"/>
      <c r="H592" s="1405"/>
      <c r="I592" s="1405"/>
      <c r="J592" s="1405"/>
      <c r="K592" s="1405"/>
      <c r="L592" s="1405"/>
      <c r="M592" s="1405"/>
      <c r="S592" s="1731"/>
    </row>
    <row r="593" spans="1:19" x14ac:dyDescent="0.2">
      <c r="A593" s="1402"/>
      <c r="B593" s="1405"/>
      <c r="C593" s="1407"/>
      <c r="D593" s="1405"/>
      <c r="E593" s="1405"/>
      <c r="F593" s="1405"/>
      <c r="G593" s="1405"/>
      <c r="H593" s="1405"/>
      <c r="I593" s="1405"/>
      <c r="J593" s="1405"/>
      <c r="K593" s="1405"/>
      <c r="L593" s="1405"/>
      <c r="M593" s="1405"/>
      <c r="S593" s="1731"/>
    </row>
    <row r="594" spans="1:19" x14ac:dyDescent="0.2">
      <c r="A594" s="1402"/>
      <c r="B594" s="1405"/>
      <c r="C594" s="1407"/>
      <c r="D594" s="1405"/>
      <c r="E594" s="1405"/>
      <c r="F594" s="1405"/>
      <c r="G594" s="1405"/>
      <c r="H594" s="1405"/>
      <c r="I594" s="1405"/>
      <c r="J594" s="1405"/>
      <c r="K594" s="1405"/>
      <c r="L594" s="1405"/>
      <c r="M594" s="1405"/>
      <c r="S594" s="1731"/>
    </row>
    <row r="595" spans="1:19" x14ac:dyDescent="0.2">
      <c r="A595" s="1402"/>
      <c r="B595" s="1405"/>
      <c r="C595" s="1407"/>
      <c r="D595" s="1405"/>
      <c r="E595" s="1405"/>
      <c r="F595" s="1405"/>
      <c r="G595" s="1405"/>
      <c r="H595" s="1405"/>
      <c r="I595" s="1405"/>
      <c r="J595" s="1405"/>
      <c r="K595" s="1405"/>
      <c r="L595" s="1405"/>
      <c r="M595" s="1405"/>
      <c r="S595" s="1731"/>
    </row>
    <row r="596" spans="1:19" x14ac:dyDescent="0.2">
      <c r="A596" s="1402"/>
      <c r="B596" s="1405"/>
      <c r="C596" s="1407"/>
      <c r="D596" s="1405"/>
      <c r="E596" s="1405"/>
      <c r="F596" s="1405"/>
      <c r="G596" s="1405"/>
      <c r="H596" s="1405"/>
      <c r="I596" s="1405"/>
      <c r="J596" s="1405"/>
      <c r="K596" s="1405"/>
      <c r="L596" s="1405"/>
      <c r="M596" s="1405"/>
      <c r="S596" s="1731"/>
    </row>
    <row r="597" spans="1:19" x14ac:dyDescent="0.2">
      <c r="A597" s="1402"/>
      <c r="B597" s="1405"/>
      <c r="C597" s="1407"/>
      <c r="D597" s="1405"/>
      <c r="E597" s="1405"/>
      <c r="F597" s="1405"/>
      <c r="G597" s="1405"/>
      <c r="H597" s="1405"/>
      <c r="I597" s="1405"/>
      <c r="J597" s="1405"/>
      <c r="K597" s="1405"/>
      <c r="L597" s="1405"/>
      <c r="M597" s="1405"/>
      <c r="S597" s="1731"/>
    </row>
    <row r="598" spans="1:19" x14ac:dyDescent="0.2">
      <c r="A598" s="1402"/>
      <c r="B598" s="1405"/>
      <c r="C598" s="1407"/>
      <c r="D598" s="1405"/>
      <c r="E598" s="1405"/>
      <c r="F598" s="1405"/>
      <c r="G598" s="1405"/>
      <c r="H598" s="1405"/>
      <c r="I598" s="1405"/>
      <c r="J598" s="1405"/>
      <c r="K598" s="1405"/>
      <c r="L598" s="1405"/>
      <c r="M598" s="1405"/>
      <c r="S598" s="1731"/>
    </row>
    <row r="599" spans="1:19" x14ac:dyDescent="0.2">
      <c r="A599" s="1402"/>
      <c r="B599" s="1405"/>
      <c r="C599" s="1407"/>
      <c r="D599" s="1405"/>
      <c r="E599" s="1405"/>
      <c r="F599" s="1405"/>
      <c r="G599" s="1405"/>
      <c r="H599" s="1405"/>
      <c r="I599" s="1405"/>
      <c r="J599" s="1405"/>
      <c r="K599" s="1405"/>
      <c r="L599" s="1405"/>
      <c r="M599" s="1405"/>
      <c r="S599" s="1731"/>
    </row>
    <row r="600" spans="1:19" x14ac:dyDescent="0.2">
      <c r="A600" s="1402"/>
      <c r="B600" s="1405"/>
      <c r="C600" s="1407"/>
      <c r="D600" s="1405"/>
      <c r="E600" s="1405"/>
      <c r="F600" s="1405"/>
      <c r="G600" s="1405"/>
      <c r="H600" s="1405"/>
      <c r="I600" s="1405"/>
      <c r="J600" s="1405"/>
      <c r="K600" s="1405"/>
      <c r="L600" s="1405"/>
      <c r="M600" s="1405"/>
      <c r="S600" s="1731"/>
    </row>
    <row r="601" spans="1:19" x14ac:dyDescent="0.2">
      <c r="A601" s="1402"/>
      <c r="B601" s="1405"/>
      <c r="C601" s="1407"/>
      <c r="D601" s="1405"/>
      <c r="E601" s="1405"/>
      <c r="F601" s="1405"/>
      <c r="G601" s="1405"/>
      <c r="H601" s="1405"/>
      <c r="I601" s="1405"/>
      <c r="J601" s="1405"/>
      <c r="K601" s="1405"/>
      <c r="L601" s="1405"/>
      <c r="M601" s="1405"/>
      <c r="S601" s="1731"/>
    </row>
    <row r="602" spans="1:19" x14ac:dyDescent="0.2">
      <c r="A602" s="1402"/>
      <c r="B602" s="1405"/>
      <c r="C602" s="1407"/>
      <c r="D602" s="1405"/>
      <c r="E602" s="1405"/>
      <c r="F602" s="1405"/>
      <c r="G602" s="1405"/>
      <c r="H602" s="1405"/>
      <c r="I602" s="1405"/>
      <c r="J602" s="1405"/>
      <c r="K602" s="1405"/>
      <c r="L602" s="1405"/>
      <c r="M602" s="1405"/>
      <c r="S602" s="1731"/>
    </row>
    <row r="603" spans="1:19" x14ac:dyDescent="0.2">
      <c r="A603" s="1402"/>
      <c r="B603" s="1405"/>
      <c r="C603" s="1407"/>
      <c r="D603" s="1405"/>
      <c r="E603" s="1405"/>
      <c r="F603" s="1405"/>
      <c r="G603" s="1405"/>
      <c r="H603" s="1405"/>
      <c r="I603" s="1405"/>
      <c r="J603" s="1405"/>
      <c r="K603" s="1405"/>
      <c r="L603" s="1405"/>
      <c r="M603" s="1405"/>
      <c r="S603" s="1731"/>
    </row>
    <row r="604" spans="1:19" x14ac:dyDescent="0.2">
      <c r="A604" s="1402"/>
      <c r="B604" s="1405"/>
      <c r="C604" s="1407"/>
      <c r="D604" s="1405"/>
      <c r="E604" s="1405"/>
      <c r="F604" s="1405"/>
      <c r="G604" s="1405"/>
      <c r="H604" s="1405"/>
      <c r="I604" s="1405"/>
      <c r="J604" s="1405"/>
      <c r="K604" s="1405"/>
      <c r="L604" s="1405"/>
      <c r="M604" s="1405"/>
      <c r="S604" s="1731"/>
    </row>
    <row r="605" spans="1:19" x14ac:dyDescent="0.2">
      <c r="A605" s="1402"/>
      <c r="B605" s="1405"/>
      <c r="C605" s="1407"/>
      <c r="D605" s="1405"/>
      <c r="E605" s="1405"/>
      <c r="F605" s="1405"/>
      <c r="G605" s="1405"/>
      <c r="H605" s="1405"/>
      <c r="I605" s="1405"/>
      <c r="J605" s="1405"/>
      <c r="K605" s="1405"/>
      <c r="L605" s="1405"/>
      <c r="M605" s="1405"/>
      <c r="S605" s="1731"/>
    </row>
    <row r="606" spans="1:19" x14ac:dyDescent="0.2">
      <c r="A606" s="1402"/>
      <c r="B606" s="1405"/>
      <c r="C606" s="1407"/>
      <c r="D606" s="1405"/>
      <c r="E606" s="1405"/>
      <c r="F606" s="1405"/>
      <c r="G606" s="1405"/>
      <c r="H606" s="1405"/>
      <c r="I606" s="1405"/>
      <c r="J606" s="1405"/>
      <c r="K606" s="1405"/>
      <c r="L606" s="1405"/>
      <c r="M606" s="1405"/>
      <c r="S606" s="1731"/>
    </row>
    <row r="607" spans="1:19" x14ac:dyDescent="0.2">
      <c r="A607" s="1402"/>
      <c r="B607" s="1405"/>
      <c r="C607" s="1407"/>
      <c r="D607" s="1405"/>
      <c r="E607" s="1405"/>
      <c r="F607" s="1405"/>
      <c r="G607" s="1405"/>
      <c r="H607" s="1405"/>
      <c r="I607" s="1405"/>
      <c r="J607" s="1405"/>
      <c r="K607" s="1405"/>
      <c r="L607" s="1405"/>
      <c r="M607" s="1405"/>
      <c r="S607" s="1731"/>
    </row>
    <row r="608" spans="1:19" x14ac:dyDescent="0.2">
      <c r="A608" s="1402"/>
      <c r="B608" s="1405"/>
      <c r="C608" s="1407"/>
      <c r="D608" s="1405"/>
      <c r="E608" s="1405"/>
      <c r="F608" s="1405"/>
      <c r="G608" s="1405"/>
      <c r="H608" s="1405"/>
      <c r="I608" s="1405"/>
      <c r="J608" s="1405"/>
      <c r="K608" s="1405"/>
      <c r="L608" s="1405"/>
      <c r="M608" s="1405"/>
      <c r="S608" s="1731"/>
    </row>
    <row r="609" spans="1:19" x14ac:dyDescent="0.2">
      <c r="A609" s="1402"/>
      <c r="B609" s="1405"/>
      <c r="C609" s="1407"/>
      <c r="D609" s="1405"/>
      <c r="E609" s="1405"/>
      <c r="F609" s="1405"/>
      <c r="G609" s="1405"/>
      <c r="H609" s="1405"/>
      <c r="I609" s="1405"/>
      <c r="J609" s="1405"/>
      <c r="K609" s="1405"/>
      <c r="L609" s="1405"/>
      <c r="M609" s="1405"/>
      <c r="S609" s="1731"/>
    </row>
    <row r="610" spans="1:19" x14ac:dyDescent="0.2">
      <c r="A610" s="1402"/>
      <c r="B610" s="1405"/>
      <c r="C610" s="1407"/>
      <c r="D610" s="1405"/>
      <c r="E610" s="1405"/>
      <c r="F610" s="1405"/>
      <c r="G610" s="1405"/>
      <c r="H610" s="1405"/>
      <c r="I610" s="1405"/>
      <c r="J610" s="1405"/>
      <c r="K610" s="1405"/>
      <c r="L610" s="1405"/>
      <c r="M610" s="1405"/>
      <c r="S610" s="1731"/>
    </row>
    <row r="611" spans="1:19" x14ac:dyDescent="0.2">
      <c r="A611" s="1402"/>
      <c r="B611" s="1405"/>
      <c r="C611" s="1407"/>
      <c r="D611" s="1405"/>
      <c r="E611" s="1405"/>
      <c r="F611" s="1405"/>
      <c r="G611" s="1405"/>
      <c r="H611" s="1405"/>
      <c r="I611" s="1405"/>
      <c r="J611" s="1405"/>
      <c r="K611" s="1405"/>
      <c r="L611" s="1405"/>
      <c r="M611" s="1405"/>
      <c r="S611" s="1731"/>
    </row>
    <row r="612" spans="1:19" x14ac:dyDescent="0.2">
      <c r="A612" s="1402"/>
      <c r="B612" s="1405"/>
      <c r="C612" s="1407"/>
      <c r="D612" s="1405"/>
      <c r="E612" s="1405"/>
      <c r="F612" s="1405"/>
      <c r="G612" s="1405"/>
      <c r="H612" s="1405"/>
      <c r="I612" s="1405"/>
      <c r="J612" s="1405"/>
      <c r="K612" s="1405"/>
      <c r="L612" s="1405"/>
      <c r="M612" s="1405"/>
      <c r="S612" s="1731"/>
    </row>
    <row r="613" spans="1:19" x14ac:dyDescent="0.2">
      <c r="A613" s="1402"/>
      <c r="B613" s="1405"/>
      <c r="C613" s="1407"/>
      <c r="D613" s="1405"/>
      <c r="E613" s="1405"/>
      <c r="F613" s="1405"/>
      <c r="G613" s="1405"/>
      <c r="H613" s="1405"/>
      <c r="I613" s="1405"/>
      <c r="J613" s="1405"/>
      <c r="K613" s="1405"/>
      <c r="L613" s="1405"/>
      <c r="M613" s="1405"/>
      <c r="S613" s="1731"/>
    </row>
    <row r="614" spans="1:19" x14ac:dyDescent="0.2">
      <c r="A614" s="1402"/>
      <c r="B614" s="1405"/>
      <c r="C614" s="1407"/>
      <c r="D614" s="1405"/>
      <c r="E614" s="1405"/>
      <c r="F614" s="1405"/>
      <c r="G614" s="1405"/>
      <c r="H614" s="1405"/>
      <c r="I614" s="1405"/>
      <c r="J614" s="1405"/>
      <c r="K614" s="1405"/>
      <c r="L614" s="1405"/>
      <c r="M614" s="1405"/>
      <c r="S614" s="1731"/>
    </row>
    <row r="615" spans="1:19" x14ac:dyDescent="0.2">
      <c r="A615" s="1402"/>
      <c r="B615" s="1405"/>
      <c r="C615" s="1407"/>
      <c r="D615" s="1405"/>
      <c r="E615" s="1405"/>
      <c r="F615" s="1405"/>
      <c r="G615" s="1405"/>
      <c r="H615" s="1405"/>
      <c r="I615" s="1405"/>
      <c r="J615" s="1405"/>
      <c r="K615" s="1405"/>
      <c r="L615" s="1405"/>
      <c r="M615" s="1405"/>
      <c r="S615" s="1731"/>
    </row>
    <row r="616" spans="1:19" x14ac:dyDescent="0.2">
      <c r="A616" s="1402"/>
      <c r="B616" s="1405"/>
      <c r="C616" s="1407"/>
      <c r="D616" s="1405"/>
      <c r="E616" s="1405"/>
      <c r="F616" s="1405"/>
      <c r="G616" s="1405"/>
      <c r="H616" s="1405"/>
      <c r="I616" s="1405"/>
      <c r="J616" s="1405"/>
      <c r="K616" s="1405"/>
      <c r="L616" s="1405"/>
      <c r="M616" s="1405"/>
      <c r="S616" s="1731"/>
    </row>
    <row r="617" spans="1:19" x14ac:dyDescent="0.2">
      <c r="A617" s="1402"/>
      <c r="B617" s="1405"/>
      <c r="C617" s="1407"/>
      <c r="D617" s="1405"/>
      <c r="E617" s="1405"/>
      <c r="F617" s="1405"/>
      <c r="G617" s="1405"/>
      <c r="H617" s="1405"/>
      <c r="I617" s="1405"/>
      <c r="J617" s="1405"/>
      <c r="K617" s="1405"/>
      <c r="L617" s="1405"/>
      <c r="M617" s="1405"/>
      <c r="S617" s="1731"/>
    </row>
    <row r="618" spans="1:19" x14ac:dyDescent="0.2">
      <c r="A618" s="1402"/>
      <c r="B618" s="1405"/>
      <c r="C618" s="1407"/>
      <c r="D618" s="1405"/>
      <c r="E618" s="1405"/>
      <c r="F618" s="1405"/>
      <c r="G618" s="1405"/>
      <c r="H618" s="1405"/>
      <c r="I618" s="1405"/>
      <c r="J618" s="1405"/>
      <c r="K618" s="1405"/>
      <c r="L618" s="1405"/>
      <c r="M618" s="1405"/>
      <c r="S618" s="1731"/>
    </row>
    <row r="619" spans="1:19" x14ac:dyDescent="0.2">
      <c r="A619" s="1402"/>
      <c r="B619" s="1405"/>
      <c r="C619" s="1407"/>
      <c r="D619" s="1405"/>
      <c r="E619" s="1405"/>
      <c r="F619" s="1405"/>
      <c r="G619" s="1405"/>
      <c r="H619" s="1405"/>
      <c r="I619" s="1405"/>
      <c r="J619" s="1405"/>
      <c r="K619" s="1405"/>
      <c r="L619" s="1405"/>
      <c r="M619" s="1405"/>
      <c r="S619" s="1731"/>
    </row>
    <row r="620" spans="1:19" x14ac:dyDescent="0.2">
      <c r="A620" s="1402"/>
      <c r="B620" s="1405"/>
      <c r="C620" s="1407"/>
      <c r="D620" s="1405"/>
      <c r="E620" s="1405"/>
      <c r="F620" s="1405"/>
      <c r="G620" s="1405"/>
      <c r="H620" s="1405"/>
      <c r="I620" s="1405"/>
      <c r="J620" s="1405"/>
      <c r="K620" s="1405"/>
      <c r="L620" s="1405"/>
      <c r="M620" s="1405"/>
      <c r="S620" s="1731"/>
    </row>
    <row r="621" spans="1:19" x14ac:dyDescent="0.2">
      <c r="A621" s="1402"/>
      <c r="B621" s="1405"/>
      <c r="C621" s="1407"/>
      <c r="D621" s="1405"/>
      <c r="E621" s="1405"/>
      <c r="F621" s="1405"/>
      <c r="G621" s="1405"/>
      <c r="H621" s="1405"/>
      <c r="I621" s="1405"/>
      <c r="J621" s="1405"/>
      <c r="K621" s="1405"/>
      <c r="L621" s="1405"/>
      <c r="M621" s="1405"/>
      <c r="S621" s="1731"/>
    </row>
    <row r="622" spans="1:19" x14ac:dyDescent="0.2">
      <c r="A622" s="1402"/>
      <c r="B622" s="1405"/>
      <c r="C622" s="1407"/>
      <c r="D622" s="1405"/>
      <c r="E622" s="1405"/>
      <c r="F622" s="1405"/>
      <c r="G622" s="1405"/>
      <c r="H622" s="1405"/>
      <c r="I622" s="1405"/>
      <c r="J622" s="1405"/>
      <c r="K622" s="1405"/>
      <c r="L622" s="1405"/>
      <c r="M622" s="1405"/>
      <c r="S622" s="1731"/>
    </row>
    <row r="623" spans="1:19" x14ac:dyDescent="0.2">
      <c r="A623" s="1402"/>
      <c r="B623" s="1405"/>
      <c r="C623" s="1407"/>
      <c r="D623" s="1405"/>
      <c r="E623" s="1405"/>
      <c r="F623" s="1405"/>
      <c r="G623" s="1405"/>
      <c r="H623" s="1405"/>
      <c r="I623" s="1405"/>
      <c r="J623" s="1405"/>
      <c r="K623" s="1405"/>
      <c r="L623" s="1405"/>
      <c r="M623" s="1405"/>
      <c r="S623" s="1731"/>
    </row>
    <row r="624" spans="1:19" x14ac:dyDescent="0.2">
      <c r="A624" s="1402"/>
      <c r="B624" s="1405"/>
      <c r="C624" s="1407"/>
      <c r="D624" s="1405"/>
      <c r="E624" s="1405"/>
      <c r="F624" s="1405"/>
      <c r="G624" s="1405"/>
      <c r="H624" s="1405"/>
      <c r="I624" s="1405"/>
      <c r="J624" s="1405"/>
      <c r="K624" s="1405"/>
      <c r="L624" s="1405"/>
      <c r="M624" s="1405"/>
      <c r="S624" s="1731"/>
    </row>
    <row r="625" spans="1:19" x14ac:dyDescent="0.2">
      <c r="A625" s="1402"/>
      <c r="B625" s="1405"/>
      <c r="C625" s="1407"/>
      <c r="D625" s="1405"/>
      <c r="E625" s="1405"/>
      <c r="F625" s="1405"/>
      <c r="G625" s="1405"/>
      <c r="H625" s="1405"/>
      <c r="I625" s="1405"/>
      <c r="J625" s="1405"/>
      <c r="K625" s="1405"/>
      <c r="L625" s="1405"/>
      <c r="M625" s="1405"/>
      <c r="S625" s="1731"/>
    </row>
    <row r="626" spans="1:19" x14ac:dyDescent="0.2">
      <c r="A626" s="1402"/>
      <c r="B626" s="1405"/>
      <c r="C626" s="1407"/>
      <c r="D626" s="1405"/>
      <c r="E626" s="1405"/>
      <c r="F626" s="1405"/>
      <c r="G626" s="1405"/>
      <c r="H626" s="1405"/>
      <c r="I626" s="1405"/>
      <c r="J626" s="1405"/>
      <c r="K626" s="1405"/>
      <c r="L626" s="1405"/>
      <c r="M626" s="1405"/>
      <c r="S626" s="1731"/>
    </row>
    <row r="627" spans="1:19" x14ac:dyDescent="0.2">
      <c r="A627" s="1402"/>
      <c r="B627" s="1405"/>
      <c r="C627" s="1407"/>
      <c r="D627" s="1405"/>
      <c r="E627" s="1405"/>
      <c r="F627" s="1405"/>
      <c r="G627" s="1405"/>
      <c r="H627" s="1405"/>
      <c r="I627" s="1405"/>
      <c r="J627" s="1405"/>
      <c r="K627" s="1405"/>
      <c r="L627" s="1405"/>
      <c r="M627" s="1405"/>
      <c r="S627" s="1731"/>
    </row>
    <row r="628" spans="1:19" x14ac:dyDescent="0.2">
      <c r="A628" s="1402"/>
      <c r="B628" s="1405"/>
      <c r="C628" s="1407"/>
      <c r="D628" s="1405"/>
      <c r="E628" s="1405"/>
      <c r="F628" s="1405"/>
      <c r="G628" s="1405"/>
      <c r="H628" s="1405"/>
      <c r="I628" s="1405"/>
      <c r="J628" s="1405"/>
      <c r="K628" s="1405"/>
      <c r="L628" s="1405"/>
      <c r="M628" s="1405"/>
      <c r="S628" s="1731"/>
    </row>
    <row r="629" spans="1:19" x14ac:dyDescent="0.2">
      <c r="A629" s="1402"/>
      <c r="B629" s="1405"/>
      <c r="C629" s="1407"/>
      <c r="D629" s="1405"/>
      <c r="E629" s="1405"/>
      <c r="F629" s="1405"/>
      <c r="G629" s="1405"/>
      <c r="H629" s="1405"/>
      <c r="I629" s="1405"/>
      <c r="J629" s="1405"/>
      <c r="K629" s="1405"/>
      <c r="L629" s="1405"/>
      <c r="M629" s="1405"/>
      <c r="S629" s="1731"/>
    </row>
    <row r="630" spans="1:19" x14ac:dyDescent="0.2">
      <c r="A630" s="1402"/>
      <c r="B630" s="1405"/>
      <c r="C630" s="1407"/>
      <c r="D630" s="1405"/>
      <c r="E630" s="1405"/>
      <c r="F630" s="1405"/>
      <c r="G630" s="1405"/>
      <c r="H630" s="1405"/>
      <c r="I630" s="1405"/>
      <c r="J630" s="1405"/>
      <c r="K630" s="1405"/>
      <c r="L630" s="1405"/>
      <c r="M630" s="1405"/>
      <c r="S630" s="1731"/>
    </row>
    <row r="631" spans="1:19" x14ac:dyDescent="0.2">
      <c r="A631" s="1402"/>
      <c r="B631" s="1405"/>
      <c r="C631" s="1407"/>
      <c r="D631" s="1405"/>
      <c r="E631" s="1405"/>
      <c r="F631" s="1405"/>
      <c r="G631" s="1405"/>
      <c r="H631" s="1405"/>
      <c r="I631" s="1405"/>
      <c r="J631" s="1405"/>
      <c r="K631" s="1405"/>
      <c r="L631" s="1405"/>
      <c r="M631" s="1405"/>
      <c r="S631" s="1731"/>
    </row>
    <row r="632" spans="1:19" x14ac:dyDescent="0.2">
      <c r="A632" s="1402"/>
      <c r="B632" s="1405"/>
      <c r="C632" s="1407"/>
      <c r="D632" s="1405"/>
      <c r="E632" s="1405"/>
      <c r="F632" s="1405"/>
      <c r="G632" s="1405"/>
      <c r="H632" s="1405"/>
      <c r="I632" s="1405"/>
      <c r="J632" s="1405"/>
      <c r="K632" s="1405"/>
      <c r="L632" s="1405"/>
      <c r="M632" s="1405"/>
      <c r="S632" s="1731"/>
    </row>
    <row r="633" spans="1:19" x14ac:dyDescent="0.2">
      <c r="A633" s="1402"/>
      <c r="B633" s="1405"/>
      <c r="C633" s="1407"/>
      <c r="D633" s="1405"/>
      <c r="E633" s="1405"/>
      <c r="F633" s="1405"/>
      <c r="G633" s="1405"/>
      <c r="H633" s="1405"/>
      <c r="I633" s="1405"/>
      <c r="J633" s="1405"/>
      <c r="K633" s="1405"/>
      <c r="L633" s="1405"/>
      <c r="M633" s="1405"/>
      <c r="S633" s="1731"/>
    </row>
    <row r="634" spans="1:19" x14ac:dyDescent="0.2">
      <c r="A634" s="1402"/>
      <c r="B634" s="1405"/>
      <c r="C634" s="1407"/>
      <c r="D634" s="1405"/>
      <c r="E634" s="1405"/>
      <c r="F634" s="1405"/>
      <c r="G634" s="1405"/>
      <c r="H634" s="1405"/>
      <c r="I634" s="1405"/>
      <c r="J634" s="1405"/>
      <c r="K634" s="1405"/>
      <c r="L634" s="1405"/>
      <c r="M634" s="1405"/>
      <c r="S634" s="1731"/>
    </row>
    <row r="635" spans="1:19" x14ac:dyDescent="0.2">
      <c r="A635" s="1402"/>
      <c r="B635" s="1405"/>
      <c r="C635" s="1407"/>
      <c r="D635" s="1405"/>
      <c r="E635" s="1405"/>
      <c r="F635" s="1405"/>
      <c r="G635" s="1405"/>
      <c r="H635" s="1405"/>
      <c r="I635" s="1405"/>
      <c r="J635" s="1405"/>
      <c r="K635" s="1405"/>
      <c r="L635" s="1405"/>
      <c r="M635" s="1405"/>
      <c r="S635" s="1731"/>
    </row>
    <row r="636" spans="1:19" x14ac:dyDescent="0.2">
      <c r="A636" s="1402"/>
      <c r="B636" s="1405"/>
      <c r="C636" s="1407"/>
      <c r="D636" s="1405"/>
      <c r="E636" s="1405"/>
      <c r="F636" s="1405"/>
      <c r="G636" s="1405"/>
      <c r="H636" s="1405"/>
      <c r="I636" s="1405"/>
      <c r="J636" s="1405"/>
      <c r="K636" s="1405"/>
      <c r="L636" s="1405"/>
      <c r="M636" s="1405"/>
      <c r="S636" s="1731"/>
    </row>
    <row r="637" spans="1:19" x14ac:dyDescent="0.2">
      <c r="A637" s="1402"/>
      <c r="B637" s="1405"/>
      <c r="C637" s="1407"/>
      <c r="D637" s="1405"/>
      <c r="E637" s="1405"/>
      <c r="F637" s="1405"/>
      <c r="G637" s="1405"/>
      <c r="H637" s="1405"/>
      <c r="I637" s="1405"/>
      <c r="J637" s="1405"/>
      <c r="K637" s="1405"/>
      <c r="L637" s="1405"/>
      <c r="M637" s="1405"/>
      <c r="S637" s="1731"/>
    </row>
    <row r="638" spans="1:19" x14ac:dyDescent="0.2">
      <c r="A638" s="1402"/>
      <c r="B638" s="1405"/>
      <c r="C638" s="1407"/>
      <c r="D638" s="1405"/>
      <c r="E638" s="1405"/>
      <c r="F638" s="1405"/>
      <c r="G638" s="1405"/>
      <c r="H638" s="1405"/>
      <c r="I638" s="1405"/>
      <c r="J638" s="1405"/>
      <c r="K638" s="1405"/>
      <c r="L638" s="1405"/>
      <c r="M638" s="1405"/>
      <c r="S638" s="1731"/>
    </row>
    <row r="639" spans="1:19" x14ac:dyDescent="0.2">
      <c r="A639" s="1402"/>
      <c r="B639" s="1405"/>
      <c r="C639" s="1407"/>
      <c r="D639" s="1405"/>
      <c r="E639" s="1405"/>
      <c r="F639" s="1405"/>
      <c r="G639" s="1405"/>
      <c r="H639" s="1405"/>
      <c r="I639" s="1405"/>
      <c r="J639" s="1405"/>
      <c r="K639" s="1405"/>
      <c r="L639" s="1405"/>
      <c r="M639" s="1405"/>
      <c r="S639" s="1731"/>
    </row>
    <row r="640" spans="1:19" x14ac:dyDescent="0.2">
      <c r="A640" s="1402"/>
      <c r="B640" s="1405"/>
      <c r="C640" s="1407"/>
      <c r="D640" s="1405"/>
      <c r="E640" s="1405"/>
      <c r="F640" s="1405"/>
      <c r="G640" s="1405"/>
      <c r="H640" s="1405"/>
      <c r="I640" s="1405"/>
      <c r="J640" s="1405"/>
      <c r="K640" s="1405"/>
      <c r="L640" s="1405"/>
      <c r="M640" s="1405"/>
      <c r="S640" s="1731"/>
    </row>
    <row r="641" spans="1:19" x14ac:dyDescent="0.2">
      <c r="A641" s="1402"/>
      <c r="B641" s="1405"/>
      <c r="C641" s="1407"/>
      <c r="D641" s="1405"/>
      <c r="E641" s="1405"/>
      <c r="F641" s="1405"/>
      <c r="G641" s="1405"/>
      <c r="H641" s="1405"/>
      <c r="I641" s="1405"/>
      <c r="J641" s="1405"/>
      <c r="K641" s="1405"/>
      <c r="L641" s="1405"/>
      <c r="M641" s="1405"/>
      <c r="S641" s="1731"/>
    </row>
    <row r="642" spans="1:19" x14ac:dyDescent="0.2">
      <c r="A642" s="1402"/>
      <c r="B642" s="1405"/>
      <c r="C642" s="1407"/>
      <c r="D642" s="1405"/>
      <c r="E642" s="1405"/>
      <c r="F642" s="1405"/>
      <c r="G642" s="1405"/>
      <c r="H642" s="1405"/>
      <c r="I642" s="1405"/>
      <c r="J642" s="1405"/>
      <c r="K642" s="1405"/>
      <c r="L642" s="1405"/>
      <c r="M642" s="1405"/>
      <c r="S642" s="1731"/>
    </row>
    <row r="643" spans="1:19" x14ac:dyDescent="0.2">
      <c r="A643" s="1402"/>
      <c r="B643" s="1405"/>
      <c r="C643" s="1407"/>
      <c r="D643" s="1405"/>
      <c r="E643" s="1405"/>
      <c r="F643" s="1405"/>
      <c r="G643" s="1405"/>
      <c r="H643" s="1405"/>
      <c r="I643" s="1405"/>
      <c r="J643" s="1405"/>
      <c r="K643" s="1405"/>
      <c r="L643" s="1405"/>
      <c r="M643" s="1405"/>
      <c r="S643" s="1731"/>
    </row>
    <row r="644" spans="1:19" x14ac:dyDescent="0.2">
      <c r="A644" s="1402"/>
      <c r="B644" s="1405"/>
      <c r="C644" s="1407"/>
      <c r="D644" s="1405"/>
      <c r="E644" s="1405"/>
      <c r="F644" s="1405"/>
      <c r="G644" s="1405"/>
      <c r="H644" s="1405"/>
      <c r="I644" s="1405"/>
      <c r="J644" s="1405"/>
      <c r="K644" s="1405"/>
      <c r="L644" s="1405"/>
      <c r="M644" s="1405"/>
      <c r="S644" s="1731"/>
    </row>
    <row r="645" spans="1:19" x14ac:dyDescent="0.2">
      <c r="A645" s="1402"/>
      <c r="B645" s="1405"/>
      <c r="C645" s="1407"/>
      <c r="D645" s="1405"/>
      <c r="E645" s="1405"/>
      <c r="F645" s="1405"/>
      <c r="G645" s="1405"/>
      <c r="H645" s="1405"/>
      <c r="I645" s="1405"/>
      <c r="J645" s="1405"/>
      <c r="K645" s="1405"/>
      <c r="L645" s="1405"/>
      <c r="M645" s="1405"/>
      <c r="S645" s="1731"/>
    </row>
    <row r="646" spans="1:19" x14ac:dyDescent="0.2">
      <c r="A646" s="1402"/>
      <c r="B646" s="1405"/>
      <c r="C646" s="1407"/>
      <c r="D646" s="1405"/>
      <c r="E646" s="1405"/>
      <c r="F646" s="1405"/>
      <c r="G646" s="1405"/>
      <c r="H646" s="1405"/>
      <c r="I646" s="1405"/>
      <c r="J646" s="1405"/>
      <c r="K646" s="1405"/>
      <c r="L646" s="1405"/>
      <c r="M646" s="1405"/>
      <c r="S646" s="1731"/>
    </row>
    <row r="647" spans="1:19" x14ac:dyDescent="0.2">
      <c r="A647" s="1402"/>
      <c r="B647" s="1405"/>
      <c r="C647" s="1407"/>
      <c r="D647" s="1405"/>
      <c r="E647" s="1405"/>
      <c r="F647" s="1405"/>
      <c r="G647" s="1405"/>
      <c r="H647" s="1405"/>
      <c r="I647" s="1405"/>
      <c r="J647" s="1405"/>
      <c r="K647" s="1405"/>
      <c r="L647" s="1405"/>
      <c r="M647" s="1405"/>
      <c r="S647" s="1731"/>
    </row>
    <row r="648" spans="1:19" x14ac:dyDescent="0.2">
      <c r="A648" s="1402"/>
      <c r="B648" s="1405"/>
      <c r="C648" s="1407"/>
      <c r="D648" s="1405"/>
      <c r="E648" s="1405"/>
      <c r="F648" s="1405"/>
      <c r="G648" s="1405"/>
      <c r="H648" s="1405"/>
      <c r="I648" s="1405"/>
      <c r="J648" s="1405"/>
      <c r="K648" s="1405"/>
      <c r="L648" s="1405"/>
      <c r="M648" s="1405"/>
      <c r="S648" s="1731"/>
    </row>
    <row r="649" spans="1:19" x14ac:dyDescent="0.2">
      <c r="A649" s="1402"/>
      <c r="B649" s="1405"/>
      <c r="C649" s="1407"/>
      <c r="D649" s="1405"/>
      <c r="E649" s="1405"/>
      <c r="F649" s="1405"/>
      <c r="G649" s="1405"/>
      <c r="H649" s="1405"/>
      <c r="I649" s="1405"/>
      <c r="J649" s="1405"/>
      <c r="K649" s="1405"/>
      <c r="L649" s="1405"/>
      <c r="M649" s="1405"/>
      <c r="S649" s="1731"/>
    </row>
    <row r="650" spans="1:19" x14ac:dyDescent="0.2">
      <c r="A650" s="1402"/>
      <c r="B650" s="1405"/>
      <c r="C650" s="1407"/>
      <c r="D650" s="1405"/>
      <c r="E650" s="1405"/>
      <c r="F650" s="1405"/>
      <c r="G650" s="1405"/>
      <c r="H650" s="1405"/>
      <c r="I650" s="1405"/>
      <c r="J650" s="1405"/>
      <c r="K650" s="1405"/>
      <c r="L650" s="1405"/>
      <c r="M650" s="1405"/>
      <c r="S650" s="1731"/>
    </row>
    <row r="651" spans="1:19" x14ac:dyDescent="0.2">
      <c r="A651" s="1402"/>
      <c r="B651" s="1405"/>
      <c r="C651" s="1407"/>
      <c r="D651" s="1405"/>
      <c r="E651" s="1405"/>
      <c r="F651" s="1405"/>
      <c r="G651" s="1405"/>
      <c r="H651" s="1405"/>
      <c r="I651" s="1405"/>
      <c r="J651" s="1405"/>
      <c r="K651" s="1405"/>
      <c r="L651" s="1405"/>
      <c r="M651" s="1405"/>
      <c r="S651" s="1731"/>
    </row>
    <row r="652" spans="1:19" x14ac:dyDescent="0.2">
      <c r="A652" s="1402"/>
      <c r="B652" s="1405"/>
      <c r="C652" s="1407"/>
      <c r="D652" s="1405"/>
      <c r="E652" s="1405"/>
      <c r="F652" s="1405"/>
      <c r="G652" s="1405"/>
      <c r="H652" s="1405"/>
      <c r="I652" s="1405"/>
      <c r="J652" s="1405"/>
      <c r="K652" s="1405"/>
      <c r="L652" s="1405"/>
      <c r="M652" s="1405"/>
      <c r="S652" s="1731"/>
    </row>
    <row r="653" spans="1:19" x14ac:dyDescent="0.2">
      <c r="A653" s="1402"/>
      <c r="B653" s="1405"/>
      <c r="C653" s="1407"/>
      <c r="D653" s="1405"/>
      <c r="E653" s="1405"/>
      <c r="F653" s="1405"/>
      <c r="G653" s="1405"/>
      <c r="H653" s="1405"/>
      <c r="I653" s="1405"/>
      <c r="J653" s="1405"/>
      <c r="K653" s="1405"/>
      <c r="L653" s="1405"/>
      <c r="M653" s="1405"/>
      <c r="S653" s="1731"/>
    </row>
    <row r="654" spans="1:19" x14ac:dyDescent="0.2">
      <c r="A654" s="1402"/>
      <c r="B654" s="1405"/>
      <c r="C654" s="1407"/>
      <c r="D654" s="1405"/>
      <c r="E654" s="1405"/>
      <c r="F654" s="1405"/>
      <c r="G654" s="1405"/>
      <c r="H654" s="1405"/>
      <c r="I654" s="1405"/>
      <c r="J654" s="1405"/>
      <c r="K654" s="1405"/>
      <c r="L654" s="1405"/>
      <c r="M654" s="1405"/>
      <c r="S654" s="1731"/>
    </row>
    <row r="655" spans="1:19" x14ac:dyDescent="0.2">
      <c r="A655" s="1402"/>
      <c r="B655" s="1405"/>
      <c r="C655" s="1407"/>
      <c r="D655" s="1405"/>
      <c r="E655" s="1405"/>
      <c r="F655" s="1405"/>
      <c r="G655" s="1405"/>
      <c r="H655" s="1405"/>
      <c r="I655" s="1405"/>
      <c r="J655" s="1405"/>
      <c r="K655" s="1405"/>
      <c r="L655" s="1405"/>
      <c r="M655" s="1405"/>
      <c r="S655" s="1731"/>
    </row>
    <row r="656" spans="1:19" x14ac:dyDescent="0.2">
      <c r="A656" s="1402"/>
      <c r="B656" s="1405"/>
      <c r="C656" s="1407"/>
      <c r="D656" s="1405"/>
      <c r="E656" s="1405"/>
      <c r="F656" s="1405"/>
      <c r="G656" s="1405"/>
      <c r="H656" s="1405"/>
      <c r="I656" s="1405"/>
      <c r="J656" s="1405"/>
      <c r="K656" s="1405"/>
      <c r="L656" s="1405"/>
      <c r="M656" s="1405"/>
      <c r="S656" s="1731"/>
    </row>
    <row r="657" spans="1:19" x14ac:dyDescent="0.2">
      <c r="A657" s="1402"/>
      <c r="B657" s="1405"/>
      <c r="C657" s="1407"/>
      <c r="D657" s="1405"/>
      <c r="E657" s="1405"/>
      <c r="F657" s="1405"/>
      <c r="G657" s="1405"/>
      <c r="H657" s="1405"/>
      <c r="I657" s="1405"/>
      <c r="J657" s="1405"/>
      <c r="K657" s="1405"/>
      <c r="L657" s="1405"/>
      <c r="M657" s="1405"/>
      <c r="S657" s="1731"/>
    </row>
    <row r="658" spans="1:19" x14ac:dyDescent="0.2">
      <c r="A658" s="1402"/>
      <c r="B658" s="1405"/>
      <c r="C658" s="1407"/>
      <c r="D658" s="1405"/>
      <c r="E658" s="1405"/>
      <c r="F658" s="1405"/>
      <c r="G658" s="1405"/>
      <c r="H658" s="1405"/>
      <c r="I658" s="1405"/>
      <c r="J658" s="1405"/>
      <c r="K658" s="1405"/>
      <c r="L658" s="1405"/>
      <c r="M658" s="1405"/>
      <c r="S658" s="1731"/>
    </row>
    <row r="659" spans="1:19" x14ac:dyDescent="0.2">
      <c r="A659" s="1402"/>
      <c r="B659" s="1405"/>
      <c r="C659" s="1407"/>
      <c r="D659" s="1405"/>
      <c r="E659" s="1405"/>
      <c r="F659" s="1405"/>
      <c r="G659" s="1405"/>
      <c r="H659" s="1405"/>
      <c r="I659" s="1405"/>
      <c r="J659" s="1405"/>
      <c r="K659" s="1405"/>
      <c r="L659" s="1405"/>
      <c r="M659" s="1405"/>
      <c r="S659" s="1731"/>
    </row>
    <row r="660" spans="1:19" x14ac:dyDescent="0.2">
      <c r="A660" s="1402"/>
      <c r="B660" s="1405"/>
      <c r="C660" s="1407"/>
      <c r="D660" s="1405"/>
      <c r="E660" s="1405"/>
      <c r="F660" s="1405"/>
      <c r="G660" s="1405"/>
      <c r="H660" s="1405"/>
      <c r="I660" s="1405"/>
      <c r="J660" s="1405"/>
      <c r="K660" s="1405"/>
      <c r="L660" s="1405"/>
      <c r="M660" s="1405"/>
      <c r="S660" s="1731"/>
    </row>
    <row r="661" spans="1:19" x14ac:dyDescent="0.2">
      <c r="A661" s="1402"/>
      <c r="B661" s="1405"/>
      <c r="C661" s="1407"/>
      <c r="D661" s="1405"/>
      <c r="E661" s="1405"/>
      <c r="F661" s="1405"/>
      <c r="G661" s="1405"/>
      <c r="H661" s="1405"/>
      <c r="I661" s="1405"/>
      <c r="J661" s="1405"/>
      <c r="K661" s="1405"/>
      <c r="L661" s="1405"/>
      <c r="M661" s="1405"/>
      <c r="S661" s="1731"/>
    </row>
    <row r="662" spans="1:19" x14ac:dyDescent="0.2">
      <c r="A662" s="1402"/>
      <c r="B662" s="1405"/>
      <c r="C662" s="1407"/>
      <c r="D662" s="1405"/>
      <c r="E662" s="1405"/>
      <c r="F662" s="1405"/>
      <c r="G662" s="1405"/>
      <c r="H662" s="1405"/>
      <c r="I662" s="1405"/>
      <c r="J662" s="1405"/>
      <c r="K662" s="1405"/>
      <c r="L662" s="1405"/>
      <c r="M662" s="1405"/>
      <c r="S662" s="1731"/>
    </row>
    <row r="663" spans="1:19" x14ac:dyDescent="0.2">
      <c r="A663" s="1402"/>
      <c r="B663" s="1405"/>
      <c r="C663" s="1407"/>
      <c r="D663" s="1405"/>
      <c r="E663" s="1405"/>
      <c r="F663" s="1405"/>
      <c r="G663" s="1405"/>
      <c r="H663" s="1405"/>
      <c r="I663" s="1405"/>
      <c r="J663" s="1405"/>
      <c r="K663" s="1405"/>
      <c r="L663" s="1405"/>
      <c r="M663" s="1405"/>
      <c r="S663" s="1731"/>
    </row>
    <row r="664" spans="1:19" x14ac:dyDescent="0.2">
      <c r="A664" s="1402"/>
      <c r="B664" s="1405"/>
      <c r="C664" s="1407"/>
      <c r="D664" s="1405"/>
      <c r="E664" s="1405"/>
      <c r="F664" s="1405"/>
      <c r="G664" s="1405"/>
      <c r="H664" s="1405"/>
      <c r="I664" s="1405"/>
      <c r="J664" s="1405"/>
      <c r="K664" s="1405"/>
      <c r="L664" s="1405"/>
      <c r="M664" s="1405"/>
      <c r="S664" s="1731"/>
    </row>
    <row r="665" spans="1:19" x14ac:dyDescent="0.2">
      <c r="A665" s="1402"/>
      <c r="B665" s="1405"/>
      <c r="C665" s="1407"/>
      <c r="D665" s="1405"/>
      <c r="E665" s="1405"/>
      <c r="F665" s="1405"/>
      <c r="G665" s="1405"/>
      <c r="H665" s="1405"/>
      <c r="I665" s="1405"/>
      <c r="J665" s="1405"/>
      <c r="K665" s="1405"/>
      <c r="L665" s="1405"/>
      <c r="M665" s="1405"/>
      <c r="S665" s="1731"/>
    </row>
    <row r="666" spans="1:19" x14ac:dyDescent="0.2">
      <c r="A666" s="1402"/>
      <c r="B666" s="1405"/>
      <c r="C666" s="1407"/>
      <c r="D666" s="1405"/>
      <c r="E666" s="1405"/>
      <c r="F666" s="1405"/>
      <c r="G666" s="1405"/>
      <c r="H666" s="1405"/>
      <c r="I666" s="1405"/>
      <c r="J666" s="1405"/>
      <c r="K666" s="1405"/>
      <c r="L666" s="1405"/>
      <c r="M666" s="1405"/>
      <c r="S666" s="1731"/>
    </row>
    <row r="667" spans="1:19" x14ac:dyDescent="0.2">
      <c r="A667" s="1402"/>
      <c r="B667" s="1405"/>
      <c r="C667" s="1407"/>
      <c r="D667" s="1405"/>
      <c r="E667" s="1405"/>
      <c r="F667" s="1405"/>
      <c r="G667" s="1405"/>
      <c r="H667" s="1405"/>
      <c r="I667" s="1405"/>
      <c r="J667" s="1405"/>
      <c r="K667" s="1405"/>
      <c r="L667" s="1405"/>
      <c r="M667" s="1405"/>
      <c r="S667" s="1731"/>
    </row>
    <row r="668" spans="1:19" x14ac:dyDescent="0.2">
      <c r="A668" s="1402"/>
      <c r="B668" s="1405"/>
      <c r="C668" s="1407"/>
      <c r="D668" s="1405"/>
      <c r="E668" s="1405"/>
      <c r="F668" s="1405"/>
      <c r="G668" s="1405"/>
      <c r="H668" s="1405"/>
      <c r="I668" s="1405"/>
      <c r="J668" s="1405"/>
      <c r="K668" s="1405"/>
      <c r="L668" s="1405"/>
      <c r="M668" s="1405"/>
      <c r="S668" s="1731"/>
    </row>
    <row r="669" spans="1:19" x14ac:dyDescent="0.2">
      <c r="A669" s="1402"/>
      <c r="B669" s="1405"/>
      <c r="C669" s="1407"/>
      <c r="D669" s="1405"/>
      <c r="E669" s="1405"/>
      <c r="F669" s="1405"/>
      <c r="G669" s="1405"/>
      <c r="H669" s="1405"/>
      <c r="I669" s="1405"/>
      <c r="J669" s="1405"/>
      <c r="K669" s="1405"/>
      <c r="L669" s="1405"/>
      <c r="M669" s="1405"/>
      <c r="S669" s="1731"/>
    </row>
    <row r="670" spans="1:19" x14ac:dyDescent="0.2">
      <c r="A670" s="1402"/>
      <c r="B670" s="1405"/>
      <c r="C670" s="1407"/>
      <c r="D670" s="1405"/>
      <c r="E670" s="1405"/>
      <c r="F670" s="1405"/>
      <c r="G670" s="1405"/>
      <c r="H670" s="1405"/>
      <c r="I670" s="1405"/>
      <c r="J670" s="1405"/>
      <c r="K670" s="1405"/>
      <c r="L670" s="1405"/>
      <c r="M670" s="1405"/>
      <c r="S670" s="1731"/>
    </row>
    <row r="671" spans="1:19" x14ac:dyDescent="0.2">
      <c r="A671" s="1402"/>
      <c r="B671" s="1405"/>
      <c r="C671" s="1407"/>
      <c r="D671" s="1405"/>
      <c r="E671" s="1405"/>
      <c r="F671" s="1405"/>
      <c r="G671" s="1405"/>
      <c r="H671" s="1405"/>
      <c r="I671" s="1405"/>
      <c r="J671" s="1405"/>
      <c r="K671" s="1405"/>
      <c r="L671" s="1405"/>
      <c r="M671" s="1405"/>
      <c r="S671" s="1731"/>
    </row>
    <row r="672" spans="1:19" x14ac:dyDescent="0.2">
      <c r="A672" s="1402"/>
      <c r="B672" s="1405"/>
      <c r="C672" s="1407"/>
      <c r="D672" s="1405"/>
      <c r="E672" s="1405"/>
      <c r="F672" s="1405"/>
      <c r="G672" s="1405"/>
      <c r="H672" s="1405"/>
      <c r="I672" s="1405"/>
      <c r="J672" s="1405"/>
      <c r="K672" s="1405"/>
      <c r="L672" s="1405"/>
      <c r="M672" s="1405"/>
      <c r="S672" s="1731"/>
    </row>
    <row r="673" spans="1:19" x14ac:dyDescent="0.2">
      <c r="A673" s="1402"/>
      <c r="B673" s="1405"/>
      <c r="C673" s="1407"/>
      <c r="D673" s="1405"/>
      <c r="E673" s="1405"/>
      <c r="F673" s="1405"/>
      <c r="G673" s="1405"/>
      <c r="H673" s="1405"/>
      <c r="I673" s="1405"/>
      <c r="J673" s="1405"/>
      <c r="K673" s="1405"/>
      <c r="L673" s="1405"/>
      <c r="M673" s="1405"/>
      <c r="S673" s="1731"/>
    </row>
    <row r="674" spans="1:19" x14ac:dyDescent="0.2">
      <c r="A674" s="1402"/>
      <c r="B674" s="1405"/>
      <c r="C674" s="1407"/>
      <c r="D674" s="1405"/>
      <c r="E674" s="1405"/>
      <c r="F674" s="1405"/>
      <c r="G674" s="1405"/>
      <c r="H674" s="1405"/>
      <c r="I674" s="1405"/>
      <c r="J674" s="1405"/>
      <c r="K674" s="1405"/>
      <c r="L674" s="1405"/>
      <c r="M674" s="1405"/>
      <c r="S674" s="1731"/>
    </row>
    <row r="675" spans="1:19" x14ac:dyDescent="0.2">
      <c r="A675" s="1402"/>
      <c r="B675" s="1405"/>
      <c r="C675" s="1407"/>
      <c r="D675" s="1405"/>
      <c r="E675" s="1405"/>
      <c r="F675" s="1405"/>
      <c r="G675" s="1405"/>
      <c r="H675" s="1405"/>
      <c r="I675" s="1405"/>
      <c r="J675" s="1405"/>
      <c r="K675" s="1405"/>
      <c r="L675" s="1405"/>
      <c r="M675" s="1405"/>
      <c r="S675" s="1731"/>
    </row>
    <row r="676" spans="1:19" x14ac:dyDescent="0.2">
      <c r="A676" s="1402"/>
      <c r="B676" s="1405"/>
      <c r="C676" s="1407"/>
      <c r="D676" s="1405"/>
      <c r="E676" s="1405"/>
      <c r="F676" s="1405"/>
      <c r="G676" s="1405"/>
      <c r="H676" s="1405"/>
      <c r="I676" s="1405"/>
      <c r="J676" s="1405"/>
      <c r="K676" s="1405"/>
      <c r="L676" s="1405"/>
      <c r="M676" s="1405"/>
      <c r="S676" s="1731"/>
    </row>
    <row r="677" spans="1:19" x14ac:dyDescent="0.2">
      <c r="A677" s="1402"/>
      <c r="B677" s="1405"/>
      <c r="C677" s="1407"/>
      <c r="D677" s="1405"/>
      <c r="E677" s="1405"/>
      <c r="F677" s="1405"/>
      <c r="G677" s="1405"/>
      <c r="H677" s="1405"/>
      <c r="I677" s="1405"/>
      <c r="J677" s="1405"/>
      <c r="K677" s="1405"/>
      <c r="L677" s="1405"/>
      <c r="M677" s="1405"/>
      <c r="S677" s="1731"/>
    </row>
    <row r="678" spans="1:19" x14ac:dyDescent="0.2">
      <c r="A678" s="1402"/>
      <c r="B678" s="1405"/>
      <c r="C678" s="1407"/>
      <c r="D678" s="1405"/>
      <c r="E678" s="1405"/>
      <c r="F678" s="1405"/>
      <c r="G678" s="1405"/>
      <c r="H678" s="1405"/>
      <c r="I678" s="1405"/>
      <c r="J678" s="1405"/>
      <c r="K678" s="1405"/>
      <c r="L678" s="1405"/>
      <c r="M678" s="1405"/>
      <c r="S678" s="1731"/>
    </row>
    <row r="679" spans="1:19" x14ac:dyDescent="0.2">
      <c r="A679" s="1402"/>
      <c r="B679" s="1405"/>
      <c r="C679" s="1407"/>
      <c r="D679" s="1405"/>
      <c r="E679" s="1405"/>
      <c r="F679" s="1405"/>
      <c r="G679" s="1405"/>
      <c r="H679" s="1405"/>
      <c r="I679" s="1405"/>
      <c r="J679" s="1405"/>
      <c r="K679" s="1405"/>
      <c r="L679" s="1405"/>
      <c r="M679" s="1405"/>
      <c r="S679" s="1731"/>
    </row>
    <row r="680" spans="1:19" x14ac:dyDescent="0.2">
      <c r="A680" s="1402"/>
      <c r="B680" s="1405"/>
      <c r="C680" s="1407"/>
      <c r="D680" s="1405"/>
      <c r="E680" s="1405"/>
      <c r="F680" s="1405"/>
      <c r="G680" s="1405"/>
      <c r="H680" s="1405"/>
      <c r="I680" s="1405"/>
      <c r="J680" s="1405"/>
      <c r="K680" s="1405"/>
      <c r="L680" s="1405"/>
      <c r="M680" s="1405"/>
      <c r="S680" s="1731"/>
    </row>
    <row r="681" spans="1:19" x14ac:dyDescent="0.2">
      <c r="A681" s="1402"/>
      <c r="B681" s="1405"/>
      <c r="C681" s="1407"/>
      <c r="D681" s="1405"/>
      <c r="E681" s="1405"/>
      <c r="F681" s="1405"/>
      <c r="G681" s="1405"/>
      <c r="H681" s="1405"/>
      <c r="I681" s="1405"/>
      <c r="J681" s="1405"/>
      <c r="K681" s="1405"/>
      <c r="L681" s="1405"/>
      <c r="M681" s="1405"/>
      <c r="S681" s="1731"/>
    </row>
    <row r="682" spans="1:19" x14ac:dyDescent="0.2">
      <c r="A682" s="1402"/>
      <c r="B682" s="1405"/>
      <c r="C682" s="1407"/>
      <c r="D682" s="1405"/>
      <c r="E682" s="1405"/>
      <c r="F682" s="1405"/>
      <c r="G682" s="1405"/>
      <c r="H682" s="1405"/>
      <c r="I682" s="1405"/>
      <c r="J682" s="1405"/>
      <c r="K682" s="1405"/>
      <c r="L682" s="1405"/>
      <c r="M682" s="1405"/>
      <c r="S682" s="1731"/>
    </row>
    <row r="683" spans="1:19" x14ac:dyDescent="0.2">
      <c r="A683" s="1402"/>
      <c r="B683" s="1405"/>
      <c r="C683" s="1407"/>
      <c r="D683" s="1405"/>
      <c r="E683" s="1405"/>
      <c r="F683" s="1405"/>
      <c r="G683" s="1405"/>
      <c r="H683" s="1405"/>
      <c r="I683" s="1405"/>
      <c r="J683" s="1405"/>
      <c r="K683" s="1405"/>
      <c r="L683" s="1405"/>
      <c r="M683" s="1405"/>
      <c r="S683" s="1731"/>
    </row>
    <row r="684" spans="1:19" x14ac:dyDescent="0.2">
      <c r="A684" s="1402"/>
      <c r="B684" s="1405"/>
      <c r="C684" s="1407"/>
      <c r="D684" s="1405"/>
      <c r="E684" s="1405"/>
      <c r="F684" s="1405"/>
      <c r="G684" s="1405"/>
      <c r="H684" s="1405"/>
      <c r="I684" s="1405"/>
      <c r="J684" s="1405"/>
      <c r="K684" s="1405"/>
      <c r="L684" s="1405"/>
      <c r="M684" s="1405"/>
      <c r="S684" s="1731"/>
    </row>
    <row r="685" spans="1:19" x14ac:dyDescent="0.2">
      <c r="A685" s="1402"/>
      <c r="B685" s="1405"/>
      <c r="C685" s="1407"/>
      <c r="D685" s="1405"/>
      <c r="E685" s="1405"/>
      <c r="F685" s="1405"/>
      <c r="G685" s="1405"/>
      <c r="H685" s="1405"/>
      <c r="I685" s="1405"/>
      <c r="J685" s="1405"/>
      <c r="K685" s="1405"/>
      <c r="L685" s="1405"/>
      <c r="M685" s="1405"/>
      <c r="S685" s="1731"/>
    </row>
    <row r="686" spans="1:19" x14ac:dyDescent="0.2">
      <c r="A686" s="1402"/>
      <c r="B686" s="1405"/>
      <c r="C686" s="1407"/>
      <c r="D686" s="1405"/>
      <c r="E686" s="1405"/>
      <c r="F686" s="1405"/>
      <c r="G686" s="1405"/>
      <c r="H686" s="1405"/>
      <c r="I686" s="1405"/>
      <c r="J686" s="1405"/>
      <c r="K686" s="1405"/>
      <c r="L686" s="1405"/>
      <c r="M686" s="1405"/>
      <c r="S686" s="1731"/>
    </row>
    <row r="687" spans="1:19" x14ac:dyDescent="0.2">
      <c r="A687" s="1402"/>
      <c r="B687" s="1405"/>
      <c r="C687" s="1407"/>
      <c r="D687" s="1405"/>
      <c r="E687" s="1405"/>
      <c r="F687" s="1405"/>
      <c r="G687" s="1405"/>
      <c r="H687" s="1405"/>
      <c r="I687" s="1405"/>
      <c r="J687" s="1405"/>
      <c r="K687" s="1405"/>
      <c r="L687" s="1405"/>
      <c r="M687" s="1405"/>
      <c r="S687" s="1731"/>
    </row>
    <row r="688" spans="1:19" x14ac:dyDescent="0.2">
      <c r="A688" s="1402"/>
      <c r="B688" s="1405"/>
      <c r="C688" s="1407"/>
      <c r="D688" s="1405"/>
      <c r="E688" s="1405"/>
      <c r="F688" s="1405"/>
      <c r="G688" s="1405"/>
      <c r="H688" s="1405"/>
      <c r="I688" s="1405"/>
      <c r="J688" s="1405"/>
      <c r="K688" s="1405"/>
      <c r="L688" s="1405"/>
      <c r="M688" s="1405"/>
      <c r="S688" s="1731"/>
    </row>
    <row r="689" spans="1:19" x14ac:dyDescent="0.2">
      <c r="A689" s="1402"/>
      <c r="B689" s="1405"/>
      <c r="C689" s="1407"/>
      <c r="D689" s="1405"/>
      <c r="E689" s="1405"/>
      <c r="F689" s="1405"/>
      <c r="G689" s="1405"/>
      <c r="H689" s="1405"/>
      <c r="I689" s="1405"/>
      <c r="J689" s="1405"/>
      <c r="K689" s="1405"/>
      <c r="L689" s="1405"/>
      <c r="M689" s="1405"/>
      <c r="S689" s="1731"/>
    </row>
    <row r="690" spans="1:19" x14ac:dyDescent="0.2">
      <c r="A690" s="1402"/>
      <c r="B690" s="1405"/>
      <c r="C690" s="1407"/>
      <c r="D690" s="1405"/>
      <c r="E690" s="1405"/>
      <c r="F690" s="1405"/>
      <c r="G690" s="1405"/>
      <c r="H690" s="1405"/>
      <c r="I690" s="1405"/>
      <c r="J690" s="1405"/>
      <c r="K690" s="1405"/>
      <c r="L690" s="1405"/>
      <c r="M690" s="1405"/>
      <c r="S690" s="1731"/>
    </row>
    <row r="691" spans="1:19" x14ac:dyDescent="0.2">
      <c r="A691" s="1402"/>
      <c r="B691" s="1405"/>
      <c r="C691" s="1407"/>
      <c r="D691" s="1405"/>
      <c r="E691" s="1405"/>
      <c r="F691" s="1405"/>
      <c r="G691" s="1405"/>
      <c r="H691" s="1405"/>
      <c r="I691" s="1405"/>
      <c r="J691" s="1405"/>
      <c r="K691" s="1405"/>
      <c r="L691" s="1405"/>
      <c r="M691" s="1405"/>
      <c r="S691" s="1731"/>
    </row>
    <row r="692" spans="1:19" x14ac:dyDescent="0.2">
      <c r="A692" s="1402"/>
      <c r="B692" s="1405"/>
      <c r="C692" s="1407"/>
      <c r="D692" s="1405"/>
      <c r="E692" s="1405"/>
      <c r="F692" s="1405"/>
      <c r="G692" s="1405"/>
      <c r="H692" s="1405"/>
      <c r="I692" s="1405"/>
      <c r="J692" s="1405"/>
      <c r="K692" s="1405"/>
      <c r="L692" s="1405"/>
      <c r="M692" s="1405"/>
      <c r="S692" s="1731"/>
    </row>
    <row r="693" spans="1:19" x14ac:dyDescent="0.2">
      <c r="A693" s="1402"/>
      <c r="B693" s="1405"/>
      <c r="C693" s="1407"/>
      <c r="D693" s="1405"/>
      <c r="E693" s="1405"/>
      <c r="F693" s="1405"/>
      <c r="G693" s="1405"/>
      <c r="H693" s="1405"/>
      <c r="I693" s="1405"/>
      <c r="J693" s="1405"/>
      <c r="K693" s="1405"/>
      <c r="L693" s="1405"/>
      <c r="M693" s="1405"/>
      <c r="S693" s="1731"/>
    </row>
    <row r="694" spans="1:19" x14ac:dyDescent="0.2">
      <c r="A694" s="1402"/>
      <c r="B694" s="1405"/>
      <c r="C694" s="1407"/>
      <c r="D694" s="1405"/>
      <c r="E694" s="1405"/>
      <c r="F694" s="1405"/>
      <c r="G694" s="1405"/>
      <c r="H694" s="1405"/>
      <c r="I694" s="1405"/>
      <c r="J694" s="1405"/>
      <c r="K694" s="1405"/>
      <c r="L694" s="1405"/>
      <c r="M694" s="1405"/>
      <c r="S694" s="1731"/>
    </row>
    <row r="695" spans="1:19" x14ac:dyDescent="0.2">
      <c r="A695" s="1402"/>
      <c r="B695" s="1405"/>
      <c r="C695" s="1407"/>
      <c r="D695" s="1405"/>
      <c r="E695" s="1405"/>
      <c r="F695" s="1405"/>
      <c r="G695" s="1405"/>
      <c r="H695" s="1405"/>
      <c r="I695" s="1405"/>
      <c r="J695" s="1405"/>
      <c r="K695" s="1405"/>
      <c r="L695" s="1405"/>
      <c r="M695" s="1405"/>
      <c r="S695" s="1731"/>
    </row>
    <row r="696" spans="1:19" x14ac:dyDescent="0.2">
      <c r="A696" s="1402"/>
      <c r="B696" s="1405"/>
      <c r="C696" s="1407"/>
      <c r="D696" s="1405"/>
      <c r="E696" s="1405"/>
      <c r="F696" s="1405"/>
      <c r="G696" s="1405"/>
      <c r="H696" s="1405"/>
      <c r="I696" s="1405"/>
      <c r="J696" s="1405"/>
      <c r="K696" s="1405"/>
      <c r="L696" s="1405"/>
      <c r="M696" s="1405"/>
      <c r="S696" s="1731"/>
    </row>
    <row r="697" spans="1:19" x14ac:dyDescent="0.2">
      <c r="A697" s="1402"/>
      <c r="B697" s="1405"/>
      <c r="C697" s="1407"/>
      <c r="D697" s="1405"/>
      <c r="E697" s="1405"/>
      <c r="F697" s="1405"/>
      <c r="G697" s="1405"/>
      <c r="H697" s="1405"/>
      <c r="I697" s="1405"/>
      <c r="J697" s="1405"/>
      <c r="K697" s="1405"/>
      <c r="L697" s="1405"/>
      <c r="M697" s="1405"/>
      <c r="S697" s="1731"/>
    </row>
    <row r="698" spans="1:19" x14ac:dyDescent="0.2">
      <c r="A698" s="1402"/>
      <c r="B698" s="1405"/>
      <c r="C698" s="1407"/>
      <c r="D698" s="1405"/>
      <c r="E698" s="1405"/>
      <c r="F698" s="1405"/>
      <c r="G698" s="1405"/>
      <c r="H698" s="1405"/>
      <c r="I698" s="1405"/>
      <c r="J698" s="1405"/>
      <c r="K698" s="1405"/>
      <c r="L698" s="1405"/>
      <c r="M698" s="1405"/>
      <c r="S698" s="1731"/>
    </row>
    <row r="699" spans="1:19" x14ac:dyDescent="0.2">
      <c r="A699" s="1402"/>
      <c r="B699" s="1405"/>
      <c r="C699" s="1407"/>
      <c r="D699" s="1405"/>
      <c r="E699" s="1405"/>
      <c r="F699" s="1405"/>
      <c r="G699" s="1405"/>
      <c r="H699" s="1405"/>
      <c r="I699" s="1405"/>
      <c r="J699" s="1405"/>
      <c r="K699" s="1405"/>
      <c r="L699" s="1405"/>
      <c r="M699" s="1405"/>
      <c r="S699" s="1731"/>
    </row>
    <row r="700" spans="1:19" x14ac:dyDescent="0.2">
      <c r="A700" s="1402"/>
      <c r="B700" s="1405"/>
      <c r="C700" s="1407"/>
      <c r="D700" s="1405"/>
      <c r="E700" s="1405"/>
      <c r="F700" s="1405"/>
      <c r="G700" s="1405"/>
      <c r="H700" s="1405"/>
      <c r="I700" s="1405"/>
      <c r="J700" s="1405"/>
      <c r="K700" s="1405"/>
      <c r="L700" s="1405"/>
      <c r="M700" s="1405"/>
      <c r="S700" s="1731"/>
    </row>
    <row r="701" spans="1:19" x14ac:dyDescent="0.2">
      <c r="A701" s="1402"/>
      <c r="B701" s="1405"/>
      <c r="C701" s="1407"/>
      <c r="D701" s="1405"/>
      <c r="E701" s="1405"/>
      <c r="F701" s="1405"/>
      <c r="G701" s="1405"/>
      <c r="H701" s="1405"/>
      <c r="I701" s="1405"/>
      <c r="J701" s="1405"/>
      <c r="K701" s="1405"/>
      <c r="L701" s="1405"/>
      <c r="M701" s="1405"/>
      <c r="S701" s="1731"/>
    </row>
    <row r="702" spans="1:19" x14ac:dyDescent="0.2">
      <c r="A702" s="1402"/>
      <c r="B702" s="1405"/>
      <c r="C702" s="1407"/>
      <c r="D702" s="1405"/>
      <c r="E702" s="1405"/>
      <c r="F702" s="1405"/>
      <c r="G702" s="1405"/>
      <c r="H702" s="1405"/>
      <c r="I702" s="1405"/>
      <c r="J702" s="1405"/>
      <c r="K702" s="1405"/>
      <c r="L702" s="1405"/>
      <c r="M702" s="1405"/>
      <c r="S702" s="1731"/>
    </row>
    <row r="703" spans="1:19" x14ac:dyDescent="0.2">
      <c r="A703" s="1402"/>
      <c r="B703" s="1405"/>
      <c r="C703" s="1407"/>
      <c r="D703" s="1405"/>
      <c r="E703" s="1405"/>
      <c r="F703" s="1405"/>
      <c r="G703" s="1405"/>
      <c r="H703" s="1405"/>
      <c r="I703" s="1405"/>
      <c r="J703" s="1405"/>
      <c r="K703" s="1405"/>
      <c r="L703" s="1405"/>
      <c r="M703" s="1405"/>
      <c r="S703" s="1731"/>
    </row>
    <row r="704" spans="1:19" x14ac:dyDescent="0.2">
      <c r="A704" s="1402"/>
      <c r="B704" s="1405"/>
      <c r="C704" s="1407"/>
      <c r="D704" s="1405"/>
      <c r="E704" s="1405"/>
      <c r="F704" s="1405"/>
      <c r="G704" s="1405"/>
      <c r="H704" s="1405"/>
      <c r="I704" s="1405"/>
      <c r="J704" s="1405"/>
      <c r="K704" s="1405"/>
      <c r="L704" s="1405"/>
      <c r="M704" s="1405"/>
      <c r="S704" s="1731"/>
    </row>
    <row r="705" spans="1:19" x14ac:dyDescent="0.2">
      <c r="A705" s="1402"/>
      <c r="B705" s="1405"/>
      <c r="C705" s="1407"/>
      <c r="D705" s="1405"/>
      <c r="E705" s="1405"/>
      <c r="F705" s="1405"/>
      <c r="G705" s="1405"/>
      <c r="H705" s="1405"/>
      <c r="I705" s="1405"/>
      <c r="J705" s="1405"/>
      <c r="K705" s="1405"/>
      <c r="L705" s="1405"/>
      <c r="M705" s="1405"/>
      <c r="S705" s="1731"/>
    </row>
    <row r="706" spans="1:19" x14ac:dyDescent="0.2">
      <c r="A706" s="1402"/>
      <c r="B706" s="1405"/>
      <c r="C706" s="1407"/>
      <c r="D706" s="1405"/>
      <c r="E706" s="1405"/>
      <c r="F706" s="1405"/>
      <c r="G706" s="1405"/>
      <c r="H706" s="1405"/>
      <c r="I706" s="1405"/>
      <c r="J706" s="1405"/>
      <c r="K706" s="1405"/>
      <c r="L706" s="1405"/>
      <c r="M706" s="1405"/>
      <c r="S706" s="1731"/>
    </row>
    <row r="707" spans="1:19" x14ac:dyDescent="0.2">
      <c r="A707" s="1402"/>
      <c r="B707" s="1405"/>
      <c r="C707" s="1407"/>
      <c r="D707" s="1405"/>
      <c r="E707" s="1405"/>
      <c r="F707" s="1405"/>
      <c r="G707" s="1405"/>
      <c r="H707" s="1405"/>
      <c r="I707" s="1405"/>
      <c r="J707" s="1405"/>
      <c r="K707" s="1405"/>
      <c r="L707" s="1405"/>
      <c r="M707" s="1405"/>
      <c r="S707" s="1731"/>
    </row>
    <row r="708" spans="1:19" x14ac:dyDescent="0.2">
      <c r="A708" s="1402"/>
      <c r="B708" s="1405"/>
      <c r="C708" s="1407"/>
      <c r="D708" s="1405"/>
      <c r="E708" s="1405"/>
      <c r="F708" s="1405"/>
      <c r="G708" s="1405"/>
      <c r="H708" s="1405"/>
      <c r="I708" s="1405"/>
      <c r="J708" s="1405"/>
      <c r="K708" s="1405"/>
      <c r="L708" s="1405"/>
      <c r="M708" s="1405"/>
      <c r="S708" s="1731"/>
    </row>
    <row r="709" spans="1:19" x14ac:dyDescent="0.2">
      <c r="A709" s="1402"/>
      <c r="B709" s="1405"/>
      <c r="C709" s="1407"/>
      <c r="D709" s="1405"/>
      <c r="E709" s="1405"/>
      <c r="F709" s="1405"/>
      <c r="G709" s="1405"/>
      <c r="H709" s="1405"/>
      <c r="I709" s="1405"/>
      <c r="J709" s="1405"/>
      <c r="K709" s="1405"/>
      <c r="L709" s="1405"/>
      <c r="M709" s="1405"/>
      <c r="S709" s="1731"/>
    </row>
    <row r="710" spans="1:19" x14ac:dyDescent="0.2">
      <c r="A710" s="1402"/>
      <c r="B710" s="1405"/>
      <c r="C710" s="1407"/>
      <c r="D710" s="1405"/>
      <c r="E710" s="1405"/>
      <c r="F710" s="1405"/>
      <c r="G710" s="1405"/>
      <c r="H710" s="1405"/>
      <c r="I710" s="1405"/>
      <c r="J710" s="1405"/>
      <c r="K710" s="1405"/>
      <c r="L710" s="1405"/>
      <c r="M710" s="1405"/>
      <c r="S710" s="1731"/>
    </row>
    <row r="711" spans="1:19" x14ac:dyDescent="0.2">
      <c r="A711" s="1402"/>
      <c r="B711" s="1405"/>
      <c r="C711" s="1407"/>
      <c r="D711" s="1405"/>
      <c r="E711" s="1405"/>
      <c r="F711" s="1405"/>
      <c r="G711" s="1405"/>
      <c r="H711" s="1405"/>
      <c r="I711" s="1405"/>
      <c r="J711" s="1405"/>
      <c r="K711" s="1405"/>
      <c r="L711" s="1405"/>
      <c r="M711" s="1405"/>
      <c r="S711" s="1731"/>
    </row>
    <row r="712" spans="1:19" x14ac:dyDescent="0.2">
      <c r="A712" s="1402"/>
      <c r="B712" s="1405"/>
      <c r="C712" s="1407"/>
      <c r="D712" s="1405"/>
      <c r="E712" s="1405"/>
      <c r="F712" s="1405"/>
      <c r="G712" s="1405"/>
      <c r="H712" s="1405"/>
      <c r="I712" s="1405"/>
      <c r="J712" s="1405"/>
      <c r="K712" s="1405"/>
      <c r="L712" s="1405"/>
      <c r="M712" s="1405"/>
      <c r="S712" s="1731"/>
    </row>
    <row r="713" spans="1:19" x14ac:dyDescent="0.2">
      <c r="A713" s="1402"/>
      <c r="B713" s="1405"/>
      <c r="C713" s="1407"/>
      <c r="D713" s="1405"/>
      <c r="E713" s="1405"/>
      <c r="F713" s="1405"/>
      <c r="G713" s="1405"/>
      <c r="H713" s="1405"/>
      <c r="I713" s="1405"/>
      <c r="J713" s="1405"/>
      <c r="K713" s="1405"/>
      <c r="L713" s="1405"/>
      <c r="M713" s="1405"/>
      <c r="S713" s="1731"/>
    </row>
    <row r="714" spans="1:19" x14ac:dyDescent="0.2">
      <c r="A714" s="1402"/>
      <c r="B714" s="1405"/>
      <c r="C714" s="1407"/>
      <c r="D714" s="1405"/>
      <c r="E714" s="1405"/>
      <c r="F714" s="1405"/>
      <c r="G714" s="1405"/>
      <c r="H714" s="1405"/>
      <c r="I714" s="1405"/>
      <c r="J714" s="1405"/>
      <c r="K714" s="1405"/>
      <c r="L714" s="1405"/>
      <c r="M714" s="1405"/>
      <c r="S714" s="1731"/>
    </row>
    <row r="715" spans="1:19" x14ac:dyDescent="0.2">
      <c r="A715" s="1402"/>
      <c r="B715" s="1405"/>
      <c r="C715" s="1407"/>
      <c r="D715" s="1405"/>
      <c r="E715" s="1405"/>
      <c r="F715" s="1405"/>
      <c r="G715" s="1405"/>
      <c r="H715" s="1405"/>
      <c r="I715" s="1405"/>
      <c r="J715" s="1405"/>
      <c r="K715" s="1405"/>
      <c r="L715" s="1405"/>
      <c r="M715" s="1405"/>
      <c r="S715" s="1731"/>
    </row>
    <row r="716" spans="1:19" x14ac:dyDescent="0.2">
      <c r="A716" s="1402"/>
      <c r="B716" s="1405"/>
      <c r="C716" s="1407"/>
      <c r="D716" s="1405"/>
      <c r="E716" s="1405"/>
      <c r="F716" s="1405"/>
      <c r="G716" s="1405"/>
      <c r="H716" s="1405"/>
      <c r="I716" s="1405"/>
      <c r="J716" s="1405"/>
      <c r="K716" s="1405"/>
      <c r="L716" s="1405"/>
      <c r="M716" s="1405"/>
      <c r="S716" s="1731"/>
    </row>
    <row r="717" spans="1:19" x14ac:dyDescent="0.2">
      <c r="A717" s="1402"/>
      <c r="B717" s="1405"/>
      <c r="C717" s="1407"/>
      <c r="D717" s="1405"/>
      <c r="E717" s="1405"/>
      <c r="F717" s="1405"/>
      <c r="G717" s="1405"/>
      <c r="H717" s="1405"/>
      <c r="I717" s="1405"/>
      <c r="J717" s="1405"/>
      <c r="K717" s="1405"/>
      <c r="L717" s="1405"/>
      <c r="M717" s="1405"/>
      <c r="S717" s="1731"/>
    </row>
    <row r="718" spans="1:19" x14ac:dyDescent="0.2">
      <c r="A718" s="1402"/>
      <c r="B718" s="1405"/>
      <c r="C718" s="1407"/>
      <c r="D718" s="1405"/>
      <c r="E718" s="1405"/>
      <c r="F718" s="1405"/>
      <c r="G718" s="1405"/>
      <c r="H718" s="1405"/>
      <c r="I718" s="1405"/>
      <c r="J718" s="1405"/>
      <c r="K718" s="1405"/>
      <c r="L718" s="1405"/>
      <c r="M718" s="1405"/>
      <c r="S718" s="1731"/>
    </row>
    <row r="719" spans="1:19" x14ac:dyDescent="0.2">
      <c r="A719" s="1402"/>
      <c r="B719" s="1405"/>
      <c r="C719" s="1407"/>
      <c r="D719" s="1405"/>
      <c r="E719" s="1405"/>
      <c r="F719" s="1405"/>
      <c r="G719" s="1405"/>
      <c r="H719" s="1405"/>
      <c r="I719" s="1405"/>
      <c r="J719" s="1405"/>
      <c r="K719" s="1405"/>
      <c r="L719" s="1405"/>
      <c r="M719" s="1405"/>
      <c r="S719" s="1731"/>
    </row>
    <row r="720" spans="1:19" x14ac:dyDescent="0.2">
      <c r="A720" s="1402"/>
      <c r="B720" s="1405"/>
      <c r="C720" s="1407"/>
      <c r="D720" s="1405"/>
      <c r="E720" s="1405"/>
      <c r="F720" s="1405"/>
      <c r="G720" s="1405"/>
      <c r="H720" s="1405"/>
      <c r="I720" s="1405"/>
      <c r="J720" s="1405"/>
      <c r="K720" s="1405"/>
      <c r="L720" s="1405"/>
      <c r="M720" s="1405"/>
      <c r="S720" s="1731"/>
    </row>
    <row r="721" spans="1:19" x14ac:dyDescent="0.2">
      <c r="A721" s="1402"/>
      <c r="B721" s="1405"/>
      <c r="C721" s="1407"/>
      <c r="D721" s="1405"/>
      <c r="E721" s="1405"/>
      <c r="F721" s="1405"/>
      <c r="G721" s="1405"/>
      <c r="H721" s="1405"/>
      <c r="I721" s="1405"/>
      <c r="J721" s="1405"/>
      <c r="K721" s="1405"/>
      <c r="L721" s="1405"/>
      <c r="M721" s="1405"/>
      <c r="S721" s="1731"/>
    </row>
    <row r="722" spans="1:19" x14ac:dyDescent="0.2">
      <c r="A722" s="1402"/>
      <c r="B722" s="1405"/>
      <c r="C722" s="1407"/>
      <c r="D722" s="1405"/>
      <c r="E722" s="1405"/>
      <c r="F722" s="1405"/>
      <c r="G722" s="1405"/>
      <c r="H722" s="1405"/>
      <c r="I722" s="1405"/>
      <c r="J722" s="1405"/>
      <c r="K722" s="1405"/>
      <c r="L722" s="1405"/>
      <c r="M722" s="1405"/>
      <c r="S722" s="1731"/>
    </row>
    <row r="723" spans="1:19" x14ac:dyDescent="0.2">
      <c r="A723" s="1402"/>
      <c r="B723" s="1405"/>
      <c r="C723" s="1407"/>
      <c r="D723" s="1405"/>
      <c r="E723" s="1405"/>
      <c r="F723" s="1405"/>
      <c r="G723" s="1405"/>
      <c r="H723" s="1405"/>
      <c r="I723" s="1405"/>
      <c r="J723" s="1405"/>
      <c r="K723" s="1405"/>
      <c r="L723" s="1405"/>
      <c r="M723" s="1405"/>
      <c r="S723" s="1731"/>
    </row>
    <row r="724" spans="1:19" x14ac:dyDescent="0.2">
      <c r="A724" s="1402"/>
      <c r="B724" s="1405"/>
      <c r="C724" s="1407"/>
      <c r="D724" s="1405"/>
      <c r="E724" s="1405"/>
      <c r="F724" s="1405"/>
      <c r="G724" s="1405"/>
      <c r="H724" s="1405"/>
      <c r="I724" s="1405"/>
      <c r="J724" s="1405"/>
      <c r="K724" s="1405"/>
      <c r="L724" s="1405"/>
      <c r="M724" s="1405"/>
      <c r="S724" s="1731"/>
    </row>
    <row r="725" spans="1:19" x14ac:dyDescent="0.2">
      <c r="A725" s="1402"/>
      <c r="B725" s="1405"/>
      <c r="C725" s="1407"/>
      <c r="D725" s="1405"/>
      <c r="E725" s="1405"/>
      <c r="F725" s="1405"/>
      <c r="G725" s="1405"/>
      <c r="H725" s="1405"/>
      <c r="I725" s="1405"/>
      <c r="J725" s="1405"/>
      <c r="K725" s="1405"/>
      <c r="L725" s="1405"/>
      <c r="M725" s="1405"/>
      <c r="S725" s="1731"/>
    </row>
    <row r="726" spans="1:19" x14ac:dyDescent="0.2">
      <c r="A726" s="1402"/>
      <c r="B726" s="1405"/>
      <c r="C726" s="1407"/>
      <c r="D726" s="1405"/>
      <c r="E726" s="1405"/>
      <c r="F726" s="1405"/>
      <c r="G726" s="1405"/>
      <c r="H726" s="1405"/>
      <c r="I726" s="1405"/>
      <c r="J726" s="1405"/>
      <c r="K726" s="1405"/>
      <c r="L726" s="1405"/>
      <c r="M726" s="1405"/>
      <c r="S726" s="1731"/>
    </row>
    <row r="727" spans="1:19" x14ac:dyDescent="0.2">
      <c r="A727" s="1402"/>
      <c r="B727" s="1405"/>
      <c r="C727" s="1407"/>
      <c r="D727" s="1405"/>
      <c r="E727" s="1405"/>
      <c r="F727" s="1405"/>
      <c r="G727" s="1405"/>
      <c r="H727" s="1405"/>
      <c r="I727" s="1405"/>
      <c r="J727" s="1405"/>
      <c r="K727" s="1405"/>
      <c r="L727" s="1405"/>
      <c r="M727" s="1405"/>
      <c r="S727" s="1731"/>
    </row>
    <row r="728" spans="1:19" x14ac:dyDescent="0.2">
      <c r="A728" s="1402"/>
      <c r="B728" s="1405"/>
      <c r="C728" s="1407"/>
      <c r="D728" s="1405"/>
      <c r="E728" s="1405"/>
      <c r="F728" s="1405"/>
      <c r="G728" s="1405"/>
      <c r="H728" s="1405"/>
      <c r="I728" s="1405"/>
      <c r="J728" s="1405"/>
      <c r="K728" s="1405"/>
      <c r="L728" s="1405"/>
      <c r="M728" s="1405"/>
      <c r="S728" s="1731"/>
    </row>
    <row r="729" spans="1:19" x14ac:dyDescent="0.2">
      <c r="A729" s="1402"/>
      <c r="B729" s="1405"/>
      <c r="C729" s="1407"/>
      <c r="D729" s="1405"/>
      <c r="E729" s="1405"/>
      <c r="F729" s="1405"/>
      <c r="G729" s="1405"/>
      <c r="H729" s="1405"/>
      <c r="I729" s="1405"/>
      <c r="J729" s="1405"/>
      <c r="K729" s="1405"/>
      <c r="L729" s="1405"/>
      <c r="M729" s="1405"/>
      <c r="S729" s="1731"/>
    </row>
    <row r="730" spans="1:19" x14ac:dyDescent="0.2">
      <c r="A730" s="1402"/>
      <c r="B730" s="1405"/>
      <c r="C730" s="1407"/>
      <c r="D730" s="1405"/>
      <c r="E730" s="1405"/>
      <c r="F730" s="1405"/>
      <c r="G730" s="1405"/>
      <c r="H730" s="1405"/>
      <c r="I730" s="1405"/>
      <c r="J730" s="1405"/>
      <c r="K730" s="1405"/>
      <c r="L730" s="1405"/>
      <c r="M730" s="1405"/>
      <c r="S730" s="1731"/>
    </row>
    <row r="731" spans="1:19" x14ac:dyDescent="0.2">
      <c r="A731" s="1402"/>
      <c r="B731" s="1405"/>
      <c r="C731" s="1407"/>
      <c r="D731" s="1405"/>
      <c r="E731" s="1405"/>
      <c r="F731" s="1405"/>
      <c r="G731" s="1405"/>
      <c r="H731" s="1405"/>
      <c r="I731" s="1405"/>
      <c r="J731" s="1405"/>
      <c r="K731" s="1405"/>
      <c r="L731" s="1405"/>
      <c r="M731" s="1405"/>
      <c r="S731" s="1731"/>
    </row>
    <row r="732" spans="1:19" x14ac:dyDescent="0.2">
      <c r="A732" s="1402"/>
      <c r="B732" s="1405"/>
      <c r="C732" s="1407"/>
      <c r="D732" s="1405"/>
      <c r="E732" s="1405"/>
      <c r="F732" s="1405"/>
      <c r="G732" s="1405"/>
      <c r="H732" s="1405"/>
      <c r="I732" s="1405"/>
      <c r="J732" s="1405"/>
      <c r="K732" s="1405"/>
      <c r="L732" s="1405"/>
      <c r="M732" s="1405"/>
      <c r="S732" s="1731"/>
    </row>
    <row r="733" spans="1:19" x14ac:dyDescent="0.2">
      <c r="A733" s="1402"/>
      <c r="B733" s="1405"/>
      <c r="C733" s="1407"/>
      <c r="D733" s="1405"/>
      <c r="E733" s="1405"/>
      <c r="F733" s="1405"/>
      <c r="G733" s="1405"/>
      <c r="H733" s="1405"/>
      <c r="I733" s="1405"/>
      <c r="J733" s="1405"/>
      <c r="K733" s="1405"/>
      <c r="L733" s="1405"/>
      <c r="M733" s="1405"/>
      <c r="S733" s="1731"/>
    </row>
    <row r="734" spans="1:19" x14ac:dyDescent="0.2">
      <c r="A734" s="1402"/>
      <c r="B734" s="1405"/>
      <c r="C734" s="1407"/>
      <c r="D734" s="1405"/>
      <c r="E734" s="1405"/>
      <c r="F734" s="1405"/>
      <c r="G734" s="1405"/>
      <c r="H734" s="1405"/>
      <c r="I734" s="1405"/>
      <c r="J734" s="1405"/>
      <c r="K734" s="1405"/>
      <c r="L734" s="1405"/>
      <c r="M734" s="1405"/>
      <c r="S734" s="1731"/>
    </row>
    <row r="735" spans="1:19" x14ac:dyDescent="0.2">
      <c r="A735" s="1402"/>
      <c r="B735" s="1405"/>
      <c r="C735" s="1407"/>
      <c r="D735" s="1405"/>
      <c r="E735" s="1405"/>
      <c r="F735" s="1405"/>
      <c r="G735" s="1405"/>
      <c r="H735" s="1405"/>
      <c r="I735" s="1405"/>
      <c r="J735" s="1405"/>
      <c r="K735" s="1405"/>
      <c r="L735" s="1405"/>
      <c r="M735" s="1405"/>
      <c r="S735" s="1731"/>
    </row>
    <row r="736" spans="1:19" x14ac:dyDescent="0.2">
      <c r="A736" s="1402"/>
      <c r="B736" s="1405"/>
      <c r="C736" s="1407"/>
      <c r="D736" s="1405"/>
      <c r="E736" s="1405"/>
      <c r="F736" s="1405"/>
      <c r="G736" s="1405"/>
      <c r="H736" s="1405"/>
      <c r="I736" s="1405"/>
      <c r="J736" s="1405"/>
      <c r="K736" s="1405"/>
      <c r="L736" s="1405"/>
      <c r="M736" s="1405"/>
      <c r="S736" s="1731"/>
    </row>
    <row r="737" spans="1:19" x14ac:dyDescent="0.2">
      <c r="A737" s="1402"/>
      <c r="B737" s="1405"/>
      <c r="C737" s="1407"/>
      <c r="D737" s="1405"/>
      <c r="E737" s="1405"/>
      <c r="F737" s="1405"/>
      <c r="G737" s="1405"/>
      <c r="H737" s="1405"/>
      <c r="I737" s="1405"/>
      <c r="J737" s="1405"/>
      <c r="K737" s="1405"/>
      <c r="L737" s="1405"/>
      <c r="M737" s="1405"/>
      <c r="S737" s="1731"/>
    </row>
    <row r="738" spans="1:19" x14ac:dyDescent="0.2">
      <c r="A738" s="1402"/>
      <c r="B738" s="1405"/>
      <c r="C738" s="1407"/>
      <c r="D738" s="1405"/>
      <c r="E738" s="1405"/>
      <c r="F738" s="1405"/>
      <c r="G738" s="1405"/>
      <c r="H738" s="1405"/>
      <c r="I738" s="1405"/>
      <c r="J738" s="1405"/>
      <c r="K738" s="1405"/>
      <c r="L738" s="1405"/>
      <c r="M738" s="1405"/>
      <c r="S738" s="1731"/>
    </row>
    <row r="739" spans="1:19" x14ac:dyDescent="0.2">
      <c r="A739" s="1402"/>
      <c r="B739" s="1405"/>
      <c r="C739" s="1407"/>
      <c r="D739" s="1405"/>
      <c r="E739" s="1405"/>
      <c r="F739" s="1405"/>
      <c r="G739" s="1405"/>
      <c r="H739" s="1405"/>
      <c r="I739" s="1405"/>
      <c r="J739" s="1405"/>
      <c r="K739" s="1405"/>
      <c r="L739" s="1405"/>
      <c r="M739" s="1405"/>
      <c r="S739" s="1731"/>
    </row>
    <row r="740" spans="1:19" x14ac:dyDescent="0.2">
      <c r="A740" s="1402"/>
      <c r="B740" s="1405"/>
      <c r="C740" s="1407"/>
      <c r="D740" s="1405"/>
      <c r="E740" s="1405"/>
      <c r="F740" s="1405"/>
      <c r="G740" s="1405"/>
      <c r="H740" s="1405"/>
      <c r="I740" s="1405"/>
      <c r="J740" s="1405"/>
      <c r="K740" s="1405"/>
      <c r="L740" s="1405"/>
      <c r="M740" s="1405"/>
      <c r="S740" s="1731"/>
    </row>
    <row r="741" spans="1:19" x14ac:dyDescent="0.2">
      <c r="A741" s="1402"/>
      <c r="B741" s="1405"/>
      <c r="C741" s="1407"/>
      <c r="D741" s="1405"/>
      <c r="E741" s="1405"/>
      <c r="F741" s="1405"/>
      <c r="G741" s="1405"/>
      <c r="H741" s="1405"/>
      <c r="I741" s="1405"/>
      <c r="J741" s="1405"/>
      <c r="K741" s="1405"/>
      <c r="L741" s="1405"/>
      <c r="M741" s="1405"/>
      <c r="S741" s="1731"/>
    </row>
    <row r="742" spans="1:19" x14ac:dyDescent="0.2">
      <c r="A742" s="1402"/>
      <c r="B742" s="1405"/>
      <c r="C742" s="1407"/>
      <c r="D742" s="1405"/>
      <c r="E742" s="1405"/>
      <c r="F742" s="1405"/>
      <c r="G742" s="1405"/>
      <c r="H742" s="1405"/>
      <c r="I742" s="1405"/>
      <c r="J742" s="1405"/>
      <c r="K742" s="1405"/>
      <c r="L742" s="1405"/>
      <c r="M742" s="1405"/>
      <c r="S742" s="1731"/>
    </row>
    <row r="743" spans="1:19" x14ac:dyDescent="0.2">
      <c r="A743" s="1402"/>
      <c r="B743" s="1405"/>
      <c r="C743" s="1407"/>
      <c r="D743" s="1405"/>
      <c r="E743" s="1405"/>
      <c r="F743" s="1405"/>
      <c r="G743" s="1405"/>
      <c r="H743" s="1405"/>
      <c r="I743" s="1405"/>
      <c r="J743" s="1405"/>
      <c r="K743" s="1405"/>
      <c r="L743" s="1405"/>
      <c r="M743" s="1405"/>
      <c r="S743" s="1731"/>
    </row>
    <row r="744" spans="1:19" x14ac:dyDescent="0.2">
      <c r="A744" s="1402"/>
      <c r="B744" s="1405"/>
      <c r="C744" s="1407"/>
      <c r="D744" s="1405"/>
      <c r="E744" s="1405"/>
      <c r="F744" s="1405"/>
      <c r="G744" s="1405"/>
      <c r="H744" s="1405"/>
      <c r="I744" s="1405"/>
      <c r="J744" s="1405"/>
      <c r="K744" s="1405"/>
      <c r="L744" s="1405"/>
      <c r="M744" s="1405"/>
      <c r="S744" s="1731"/>
    </row>
    <row r="745" spans="1:19" x14ac:dyDescent="0.2">
      <c r="A745" s="1402"/>
      <c r="B745" s="1405"/>
      <c r="C745" s="1407"/>
      <c r="D745" s="1405"/>
      <c r="E745" s="1405"/>
      <c r="F745" s="1405"/>
      <c r="G745" s="1405"/>
      <c r="H745" s="1405"/>
      <c r="I745" s="1405"/>
      <c r="J745" s="1405"/>
      <c r="K745" s="1405"/>
      <c r="L745" s="1405"/>
      <c r="M745" s="1405"/>
      <c r="S745" s="1731"/>
    </row>
    <row r="746" spans="1:19" x14ac:dyDescent="0.2">
      <c r="A746" s="1402"/>
      <c r="B746" s="1405"/>
      <c r="C746" s="1407"/>
      <c r="D746" s="1405"/>
      <c r="E746" s="1405"/>
      <c r="F746" s="1405"/>
      <c r="G746" s="1405"/>
      <c r="H746" s="1405"/>
      <c r="I746" s="1405"/>
      <c r="J746" s="1405"/>
      <c r="K746" s="1405"/>
      <c r="L746" s="1405"/>
      <c r="M746" s="1405"/>
      <c r="S746" s="1731"/>
    </row>
    <row r="747" spans="1:19" x14ac:dyDescent="0.2">
      <c r="A747" s="1402"/>
      <c r="B747" s="1405"/>
      <c r="C747" s="1407"/>
      <c r="D747" s="1405"/>
      <c r="E747" s="1405"/>
      <c r="F747" s="1405"/>
      <c r="G747" s="1405"/>
      <c r="H747" s="1405"/>
      <c r="I747" s="1405"/>
      <c r="J747" s="1405"/>
      <c r="K747" s="1405"/>
      <c r="L747" s="1405"/>
      <c r="M747" s="1405"/>
      <c r="S747" s="1731"/>
    </row>
    <row r="748" spans="1:19" x14ac:dyDescent="0.2">
      <c r="A748" s="1402"/>
      <c r="B748" s="1405"/>
      <c r="C748" s="1407"/>
      <c r="D748" s="1405"/>
      <c r="E748" s="1405"/>
      <c r="F748" s="1405"/>
      <c r="G748" s="1405"/>
      <c r="H748" s="1405"/>
      <c r="I748" s="1405"/>
      <c r="J748" s="1405"/>
      <c r="K748" s="1405"/>
      <c r="L748" s="1405"/>
      <c r="M748" s="1405"/>
      <c r="S748" s="1731"/>
    </row>
    <row r="749" spans="1:19" x14ac:dyDescent="0.2">
      <c r="A749" s="1402"/>
      <c r="B749" s="1405"/>
      <c r="C749" s="1407"/>
      <c r="D749" s="1405"/>
      <c r="E749" s="1405"/>
      <c r="F749" s="1405"/>
      <c r="G749" s="1405"/>
      <c r="H749" s="1405"/>
      <c r="I749" s="1405"/>
      <c r="J749" s="1405"/>
      <c r="K749" s="1405"/>
      <c r="L749" s="1405"/>
      <c r="M749" s="1405"/>
      <c r="S749" s="1731"/>
    </row>
    <row r="750" spans="1:19" x14ac:dyDescent="0.2">
      <c r="A750" s="1402"/>
      <c r="B750" s="1405"/>
      <c r="C750" s="1407"/>
      <c r="D750" s="1405"/>
      <c r="E750" s="1405"/>
      <c r="F750" s="1405"/>
      <c r="G750" s="1405"/>
      <c r="H750" s="1405"/>
      <c r="I750" s="1405"/>
      <c r="J750" s="1405"/>
      <c r="K750" s="1405"/>
      <c r="L750" s="1405"/>
      <c r="M750" s="1405"/>
      <c r="S750" s="1731"/>
    </row>
    <row r="751" spans="1:19" x14ac:dyDescent="0.2">
      <c r="A751" s="1402"/>
      <c r="B751" s="1405"/>
      <c r="C751" s="1407"/>
      <c r="D751" s="1405"/>
      <c r="E751" s="1405"/>
      <c r="F751" s="1405"/>
      <c r="G751" s="1405"/>
      <c r="H751" s="1405"/>
      <c r="I751" s="1405"/>
      <c r="J751" s="1405"/>
      <c r="K751" s="1405"/>
      <c r="L751" s="1405"/>
      <c r="M751" s="1405"/>
      <c r="S751" s="1731"/>
    </row>
    <row r="752" spans="1:19" x14ac:dyDescent="0.2">
      <c r="A752" s="1402"/>
      <c r="B752" s="1405"/>
      <c r="C752" s="1407"/>
      <c r="D752" s="1405"/>
      <c r="E752" s="1405"/>
      <c r="F752" s="1405"/>
      <c r="G752" s="1405"/>
      <c r="H752" s="1405"/>
      <c r="I752" s="1405"/>
      <c r="J752" s="1405"/>
      <c r="K752" s="1405"/>
      <c r="L752" s="1405"/>
      <c r="M752" s="1405"/>
      <c r="S752" s="1731"/>
    </row>
    <row r="753" spans="1:19" x14ac:dyDescent="0.2">
      <c r="A753" s="1402"/>
      <c r="B753" s="1405"/>
      <c r="C753" s="1407"/>
      <c r="D753" s="1405"/>
      <c r="E753" s="1405"/>
      <c r="F753" s="1405"/>
      <c r="G753" s="1405"/>
      <c r="H753" s="1405"/>
      <c r="I753" s="1405"/>
      <c r="J753" s="1405"/>
      <c r="K753" s="1405"/>
      <c r="L753" s="1405"/>
      <c r="M753" s="1405"/>
      <c r="S753" s="1731"/>
    </row>
    <row r="754" spans="1:19" x14ac:dyDescent="0.2">
      <c r="A754" s="1402"/>
      <c r="B754" s="1405"/>
      <c r="C754" s="1407"/>
      <c r="D754" s="1405"/>
      <c r="E754" s="1405"/>
      <c r="F754" s="1405"/>
      <c r="G754" s="1405"/>
      <c r="H754" s="1405"/>
      <c r="I754" s="1405"/>
      <c r="J754" s="1405"/>
      <c r="K754" s="1405"/>
      <c r="L754" s="1405"/>
      <c r="M754" s="1405"/>
      <c r="S754" s="1731"/>
    </row>
    <row r="755" spans="1:19" x14ac:dyDescent="0.2">
      <c r="A755" s="1402"/>
      <c r="B755" s="1405"/>
      <c r="C755" s="1407"/>
      <c r="D755" s="1405"/>
      <c r="E755" s="1405"/>
      <c r="F755" s="1405"/>
      <c r="G755" s="1405"/>
      <c r="H755" s="1405"/>
      <c r="I755" s="1405"/>
      <c r="J755" s="1405"/>
      <c r="K755" s="1405"/>
      <c r="L755" s="1405"/>
      <c r="M755" s="1405"/>
      <c r="S755" s="1731"/>
    </row>
    <row r="756" spans="1:19" x14ac:dyDescent="0.2">
      <c r="A756" s="1402"/>
      <c r="B756" s="1405"/>
      <c r="C756" s="1407"/>
      <c r="D756" s="1405"/>
      <c r="E756" s="1405"/>
      <c r="F756" s="1405"/>
      <c r="G756" s="1405"/>
      <c r="H756" s="1405"/>
      <c r="I756" s="1405"/>
      <c r="J756" s="1405"/>
      <c r="K756" s="1405"/>
      <c r="L756" s="1405"/>
      <c r="M756" s="1405"/>
      <c r="S756" s="1731"/>
    </row>
    <row r="757" spans="1:19" x14ac:dyDescent="0.2">
      <c r="A757" s="1402"/>
      <c r="B757" s="1405"/>
      <c r="C757" s="1407"/>
      <c r="D757" s="1405"/>
      <c r="E757" s="1405"/>
      <c r="F757" s="1405"/>
      <c r="G757" s="1405"/>
      <c r="H757" s="1405"/>
      <c r="I757" s="1405"/>
      <c r="J757" s="1405"/>
      <c r="K757" s="1405"/>
      <c r="L757" s="1405"/>
      <c r="M757" s="1405"/>
      <c r="S757" s="1731"/>
    </row>
    <row r="758" spans="1:19" x14ac:dyDescent="0.2">
      <c r="A758" s="1402"/>
      <c r="B758" s="1405"/>
      <c r="C758" s="1407"/>
      <c r="D758" s="1405"/>
      <c r="E758" s="1405"/>
      <c r="F758" s="1405"/>
      <c r="G758" s="1405"/>
      <c r="H758" s="1405"/>
      <c r="I758" s="1405"/>
      <c r="J758" s="1405"/>
      <c r="K758" s="1405"/>
      <c r="L758" s="1405"/>
      <c r="M758" s="1405"/>
      <c r="S758" s="1731"/>
    </row>
    <row r="759" spans="1:19" x14ac:dyDescent="0.2">
      <c r="A759" s="1402"/>
      <c r="B759" s="1405"/>
      <c r="C759" s="1407"/>
      <c r="D759" s="1405"/>
      <c r="E759" s="1405"/>
      <c r="F759" s="1405"/>
      <c r="G759" s="1405"/>
      <c r="H759" s="1405"/>
      <c r="I759" s="1405"/>
      <c r="J759" s="1405"/>
      <c r="K759" s="1405"/>
      <c r="L759" s="1405"/>
      <c r="M759" s="1405"/>
      <c r="S759" s="1731"/>
    </row>
    <row r="760" spans="1:19" x14ac:dyDescent="0.2">
      <c r="A760" s="1402"/>
      <c r="B760" s="1405"/>
      <c r="C760" s="1407"/>
      <c r="D760" s="1405"/>
      <c r="E760" s="1405"/>
      <c r="F760" s="1405"/>
      <c r="G760" s="1405"/>
      <c r="H760" s="1405"/>
      <c r="I760" s="1405"/>
      <c r="J760" s="1405"/>
      <c r="K760" s="1405"/>
      <c r="L760" s="1405"/>
      <c r="M760" s="1405"/>
      <c r="S760" s="1731"/>
    </row>
    <row r="761" spans="1:19" x14ac:dyDescent="0.2">
      <c r="A761" s="1402"/>
      <c r="B761" s="1405"/>
      <c r="C761" s="1407"/>
      <c r="D761" s="1405"/>
      <c r="E761" s="1405"/>
      <c r="F761" s="1405"/>
      <c r="G761" s="1405"/>
      <c r="H761" s="1405"/>
      <c r="I761" s="1405"/>
      <c r="J761" s="1405"/>
      <c r="K761" s="1405"/>
      <c r="L761" s="1405"/>
      <c r="M761" s="1405"/>
      <c r="S761" s="1731"/>
    </row>
    <row r="762" spans="1:19" x14ac:dyDescent="0.2">
      <c r="A762" s="1402"/>
      <c r="B762" s="1405"/>
      <c r="C762" s="1407"/>
      <c r="D762" s="1405"/>
      <c r="E762" s="1405"/>
      <c r="F762" s="1405"/>
      <c r="G762" s="1405"/>
      <c r="H762" s="1405"/>
      <c r="I762" s="1405"/>
      <c r="J762" s="1405"/>
      <c r="K762" s="1405"/>
      <c r="L762" s="1405"/>
      <c r="M762" s="1405"/>
      <c r="S762" s="1731"/>
    </row>
    <row r="763" spans="1:19" x14ac:dyDescent="0.2">
      <c r="A763" s="1402"/>
      <c r="B763" s="1405"/>
      <c r="C763" s="1407"/>
      <c r="D763" s="1405"/>
      <c r="E763" s="1405"/>
      <c r="F763" s="1405"/>
      <c r="G763" s="1405"/>
      <c r="H763" s="1405"/>
      <c r="I763" s="1405"/>
      <c r="J763" s="1405"/>
      <c r="K763" s="1405"/>
      <c r="L763" s="1405"/>
      <c r="M763" s="1405"/>
      <c r="S763" s="1731"/>
    </row>
    <row r="764" spans="1:19" x14ac:dyDescent="0.2">
      <c r="A764" s="1402"/>
      <c r="B764" s="1405"/>
      <c r="C764" s="1407"/>
      <c r="D764" s="1405"/>
      <c r="E764" s="1405"/>
      <c r="F764" s="1405"/>
      <c r="G764" s="1405"/>
      <c r="H764" s="1405"/>
      <c r="I764" s="1405"/>
      <c r="J764" s="1405"/>
      <c r="K764" s="1405"/>
      <c r="L764" s="1405"/>
      <c r="M764" s="1405"/>
      <c r="S764" s="1731"/>
    </row>
    <row r="765" spans="1:19" x14ac:dyDescent="0.2">
      <c r="A765" s="1402"/>
      <c r="B765" s="1405"/>
      <c r="C765" s="1407"/>
      <c r="D765" s="1405"/>
      <c r="E765" s="1405"/>
      <c r="F765" s="1405"/>
      <c r="G765" s="1405"/>
      <c r="H765" s="1405"/>
      <c r="I765" s="1405"/>
      <c r="J765" s="1405"/>
      <c r="K765" s="1405"/>
      <c r="L765" s="1405"/>
      <c r="M765" s="1405"/>
      <c r="S765" s="1731"/>
    </row>
    <row r="766" spans="1:19" x14ac:dyDescent="0.2">
      <c r="A766" s="1402"/>
      <c r="B766" s="1405"/>
      <c r="C766" s="1407"/>
      <c r="D766" s="1405"/>
      <c r="E766" s="1405"/>
      <c r="F766" s="1405"/>
      <c r="G766" s="1405"/>
      <c r="H766" s="1405"/>
      <c r="I766" s="1405"/>
      <c r="J766" s="1405"/>
      <c r="K766" s="1405"/>
      <c r="L766" s="1405"/>
      <c r="M766" s="1405"/>
      <c r="S766" s="1731"/>
    </row>
    <row r="767" spans="1:19" x14ac:dyDescent="0.2">
      <c r="A767" s="1402"/>
      <c r="B767" s="1405"/>
      <c r="C767" s="1407"/>
      <c r="D767" s="1405"/>
      <c r="E767" s="1405"/>
      <c r="F767" s="1405"/>
      <c r="G767" s="1405"/>
      <c r="H767" s="1405"/>
      <c r="I767" s="1405"/>
      <c r="J767" s="1405"/>
      <c r="K767" s="1405"/>
      <c r="L767" s="1405"/>
      <c r="M767" s="1405"/>
      <c r="S767" s="1731"/>
    </row>
    <row r="768" spans="1:19" x14ac:dyDescent="0.2">
      <c r="A768" s="1402"/>
      <c r="B768" s="1405"/>
      <c r="C768" s="1407"/>
      <c r="D768" s="1405"/>
      <c r="E768" s="1405"/>
      <c r="F768" s="1405"/>
      <c r="G768" s="1405"/>
      <c r="H768" s="1405"/>
      <c r="I768" s="1405"/>
      <c r="J768" s="1405"/>
      <c r="K768" s="1405"/>
      <c r="L768" s="1405"/>
      <c r="M768" s="1405"/>
      <c r="S768" s="1731"/>
    </row>
    <row r="769" spans="1:19" x14ac:dyDescent="0.2">
      <c r="A769" s="1402"/>
      <c r="B769" s="1405"/>
      <c r="C769" s="1407"/>
      <c r="D769" s="1405"/>
      <c r="E769" s="1405"/>
      <c r="F769" s="1405"/>
      <c r="G769" s="1405"/>
      <c r="H769" s="1405"/>
      <c r="I769" s="1405"/>
      <c r="J769" s="1405"/>
      <c r="K769" s="1405"/>
      <c r="L769" s="1405"/>
      <c r="M769" s="1405"/>
      <c r="S769" s="1731"/>
    </row>
    <row r="770" spans="1:19" x14ac:dyDescent="0.2">
      <c r="A770" s="1402"/>
      <c r="B770" s="1405"/>
      <c r="C770" s="1407"/>
      <c r="D770" s="1405"/>
      <c r="E770" s="1405"/>
      <c r="F770" s="1405"/>
      <c r="G770" s="1405"/>
      <c r="H770" s="1405"/>
      <c r="I770" s="1405"/>
      <c r="J770" s="1405"/>
      <c r="K770" s="1405"/>
      <c r="L770" s="1405"/>
      <c r="M770" s="1405"/>
      <c r="S770" s="1731"/>
    </row>
    <row r="771" spans="1:19" x14ac:dyDescent="0.2">
      <c r="A771" s="1402"/>
      <c r="B771" s="1405"/>
      <c r="C771" s="1407"/>
      <c r="D771" s="1405"/>
      <c r="E771" s="1405"/>
      <c r="F771" s="1405"/>
      <c r="G771" s="1405"/>
      <c r="H771" s="1405"/>
      <c r="I771" s="1405"/>
      <c r="J771" s="1405"/>
      <c r="K771" s="1405"/>
      <c r="L771" s="1405"/>
      <c r="M771" s="1405"/>
      <c r="S771" s="1731"/>
    </row>
    <row r="772" spans="1:19" x14ac:dyDescent="0.2">
      <c r="A772" s="1402"/>
      <c r="B772" s="1405"/>
      <c r="C772" s="1407"/>
      <c r="D772" s="1405"/>
      <c r="E772" s="1405"/>
      <c r="F772" s="1405"/>
      <c r="G772" s="1405"/>
      <c r="H772" s="1405"/>
      <c r="I772" s="1405"/>
      <c r="J772" s="1405"/>
      <c r="K772" s="1405"/>
      <c r="L772" s="1405"/>
      <c r="M772" s="1405"/>
      <c r="S772" s="1731"/>
    </row>
    <row r="773" spans="1:19" x14ac:dyDescent="0.2">
      <c r="A773" s="1402"/>
      <c r="B773" s="1405"/>
      <c r="C773" s="1407"/>
      <c r="D773" s="1405"/>
      <c r="E773" s="1405"/>
      <c r="F773" s="1405"/>
      <c r="G773" s="1405"/>
      <c r="H773" s="1405"/>
      <c r="I773" s="1405"/>
      <c r="J773" s="1405"/>
      <c r="K773" s="1405"/>
      <c r="L773" s="1405"/>
      <c r="M773" s="1405"/>
      <c r="S773" s="1731"/>
    </row>
    <row r="774" spans="1:19" x14ac:dyDescent="0.2">
      <c r="A774" s="1402"/>
      <c r="B774" s="1405"/>
      <c r="C774" s="1407"/>
      <c r="D774" s="1405"/>
      <c r="E774" s="1405"/>
      <c r="F774" s="1405"/>
      <c r="G774" s="1405"/>
      <c r="H774" s="1405"/>
      <c r="I774" s="1405"/>
      <c r="J774" s="1405"/>
      <c r="K774" s="1405"/>
      <c r="L774" s="1405"/>
      <c r="M774" s="1405"/>
      <c r="S774" s="1731"/>
    </row>
    <row r="775" spans="1:19" x14ac:dyDescent="0.2">
      <c r="A775" s="1402"/>
      <c r="B775" s="1405"/>
      <c r="C775" s="1407"/>
      <c r="D775" s="1405"/>
      <c r="E775" s="1405"/>
      <c r="F775" s="1405"/>
      <c r="G775" s="1405"/>
      <c r="H775" s="1405"/>
      <c r="I775" s="1405"/>
      <c r="J775" s="1405"/>
      <c r="K775" s="1405"/>
      <c r="L775" s="1405"/>
      <c r="M775" s="1405"/>
      <c r="S775" s="1731"/>
    </row>
    <row r="776" spans="1:19" x14ac:dyDescent="0.2">
      <c r="A776" s="1402"/>
      <c r="B776" s="1405"/>
      <c r="C776" s="1407"/>
      <c r="D776" s="1405"/>
      <c r="E776" s="1405"/>
      <c r="F776" s="1405"/>
      <c r="G776" s="1405"/>
      <c r="H776" s="1405"/>
      <c r="I776" s="1405"/>
      <c r="J776" s="1405"/>
      <c r="K776" s="1405"/>
      <c r="L776" s="1405"/>
      <c r="M776" s="1405"/>
      <c r="S776" s="1731"/>
    </row>
    <row r="777" spans="1:19" x14ac:dyDescent="0.2">
      <c r="A777" s="1402"/>
      <c r="B777" s="1405"/>
      <c r="C777" s="1407"/>
      <c r="D777" s="1405"/>
      <c r="E777" s="1405"/>
      <c r="F777" s="1405"/>
      <c r="G777" s="1405"/>
      <c r="H777" s="1405"/>
      <c r="I777" s="1405"/>
      <c r="J777" s="1405"/>
      <c r="K777" s="1405"/>
      <c r="L777" s="1405"/>
      <c r="M777" s="1405"/>
      <c r="S777" s="1731"/>
    </row>
    <row r="778" spans="1:19" x14ac:dyDescent="0.2">
      <c r="A778" s="1402"/>
      <c r="B778" s="1405"/>
      <c r="C778" s="1407"/>
      <c r="D778" s="1405"/>
      <c r="E778" s="1405"/>
      <c r="F778" s="1405"/>
      <c r="G778" s="1405"/>
      <c r="H778" s="1405"/>
      <c r="I778" s="1405"/>
      <c r="J778" s="1405"/>
      <c r="K778" s="1405"/>
      <c r="L778" s="1405"/>
      <c r="M778" s="1405"/>
      <c r="S778" s="1731"/>
    </row>
    <row r="779" spans="1:19" x14ac:dyDescent="0.2">
      <c r="A779" s="1402"/>
      <c r="B779" s="1405"/>
      <c r="C779" s="1407"/>
      <c r="D779" s="1405"/>
      <c r="E779" s="1405"/>
      <c r="F779" s="1405"/>
      <c r="G779" s="1405"/>
      <c r="H779" s="1405"/>
      <c r="I779" s="1405"/>
      <c r="J779" s="1405"/>
      <c r="K779" s="1405"/>
      <c r="L779" s="1405"/>
      <c r="M779" s="1405"/>
      <c r="S779" s="1731"/>
    </row>
    <row r="780" spans="1:19" x14ac:dyDescent="0.2">
      <c r="A780" s="1402"/>
      <c r="B780" s="1405"/>
      <c r="C780" s="1407"/>
      <c r="D780" s="1405"/>
      <c r="E780" s="1405"/>
      <c r="F780" s="1405"/>
      <c r="G780" s="1405"/>
      <c r="H780" s="1405"/>
      <c r="I780" s="1405"/>
      <c r="J780" s="1405"/>
      <c r="K780" s="1405"/>
      <c r="L780" s="1405"/>
      <c r="M780" s="1405"/>
      <c r="S780" s="1731"/>
    </row>
    <row r="781" spans="1:19" x14ac:dyDescent="0.2">
      <c r="A781" s="1402"/>
      <c r="B781" s="1405"/>
      <c r="C781" s="1407"/>
      <c r="D781" s="1405"/>
      <c r="E781" s="1405"/>
      <c r="F781" s="1405"/>
      <c r="G781" s="1405"/>
      <c r="H781" s="1405"/>
      <c r="I781" s="1405"/>
      <c r="J781" s="1405"/>
      <c r="K781" s="1405"/>
      <c r="L781" s="1405"/>
      <c r="M781" s="1405"/>
      <c r="S781" s="1731"/>
    </row>
    <row r="782" spans="1:19" x14ac:dyDescent="0.2">
      <c r="A782" s="1402"/>
      <c r="B782" s="1405"/>
      <c r="C782" s="1407"/>
      <c r="D782" s="1405"/>
      <c r="E782" s="1405"/>
      <c r="F782" s="1405"/>
      <c r="G782" s="1405"/>
      <c r="H782" s="1405"/>
      <c r="I782" s="1405"/>
      <c r="J782" s="1405"/>
      <c r="K782" s="1405"/>
      <c r="L782" s="1405"/>
      <c r="M782" s="1405"/>
      <c r="S782" s="1731"/>
    </row>
    <row r="783" spans="1:19" x14ac:dyDescent="0.2">
      <c r="A783" s="1402"/>
      <c r="B783" s="1405"/>
      <c r="C783" s="1407"/>
      <c r="D783" s="1405"/>
      <c r="E783" s="1405"/>
      <c r="F783" s="1405"/>
      <c r="G783" s="1405"/>
      <c r="H783" s="1405"/>
      <c r="I783" s="1405"/>
      <c r="J783" s="1405"/>
      <c r="K783" s="1405"/>
      <c r="L783" s="1405"/>
      <c r="M783" s="1405"/>
      <c r="S783" s="1731"/>
    </row>
    <row r="784" spans="1:19" x14ac:dyDescent="0.2">
      <c r="A784" s="1402"/>
      <c r="B784" s="1405"/>
      <c r="C784" s="1407"/>
      <c r="D784" s="1405"/>
      <c r="E784" s="1405"/>
      <c r="F784" s="1405"/>
      <c r="G784" s="1405"/>
      <c r="H784" s="1405"/>
      <c r="I784" s="1405"/>
      <c r="J784" s="1405"/>
      <c r="K784" s="1405"/>
      <c r="L784" s="1405"/>
      <c r="M784" s="1405"/>
      <c r="S784" s="1731"/>
    </row>
    <row r="785" spans="1:19" x14ac:dyDescent="0.2">
      <c r="A785" s="1402"/>
      <c r="B785" s="1405"/>
      <c r="C785" s="1407"/>
      <c r="D785" s="1405"/>
      <c r="E785" s="1405"/>
      <c r="F785" s="1405"/>
      <c r="G785" s="1405"/>
      <c r="H785" s="1405"/>
      <c r="I785" s="1405"/>
      <c r="J785" s="1405"/>
      <c r="K785" s="1405"/>
      <c r="L785" s="1405"/>
      <c r="M785" s="1405"/>
      <c r="S785" s="1731"/>
    </row>
    <row r="786" spans="1:19" x14ac:dyDescent="0.2">
      <c r="A786" s="1402"/>
      <c r="B786" s="1405"/>
      <c r="C786" s="1407"/>
      <c r="D786" s="1405"/>
      <c r="E786" s="1405"/>
      <c r="F786" s="1405"/>
      <c r="G786" s="1405"/>
      <c r="H786" s="1405"/>
      <c r="I786" s="1405"/>
      <c r="J786" s="1405"/>
      <c r="K786" s="1405"/>
      <c r="L786" s="1405"/>
      <c r="M786" s="1405"/>
      <c r="S786" s="1731"/>
    </row>
    <row r="787" spans="1:19" x14ac:dyDescent="0.2">
      <c r="A787" s="1402"/>
      <c r="B787" s="1405"/>
      <c r="C787" s="1407"/>
      <c r="D787" s="1405"/>
      <c r="E787" s="1405"/>
      <c r="F787" s="1405"/>
      <c r="G787" s="1405"/>
      <c r="H787" s="1405"/>
      <c r="I787" s="1405"/>
      <c r="J787" s="1405"/>
      <c r="K787" s="1405"/>
      <c r="L787" s="1405"/>
      <c r="M787" s="1405"/>
      <c r="S787" s="1731"/>
    </row>
    <row r="788" spans="1:19" x14ac:dyDescent="0.2">
      <c r="A788" s="1402"/>
      <c r="B788" s="1405"/>
      <c r="C788" s="1407"/>
      <c r="D788" s="1405"/>
      <c r="E788" s="1405"/>
      <c r="F788" s="1405"/>
      <c r="G788" s="1405"/>
      <c r="H788" s="1405"/>
      <c r="I788" s="1405"/>
      <c r="J788" s="1405"/>
      <c r="K788" s="1405"/>
      <c r="L788" s="1405"/>
      <c r="M788" s="1405"/>
      <c r="S788" s="1731"/>
    </row>
    <row r="789" spans="1:19" x14ac:dyDescent="0.2">
      <c r="A789" s="1402"/>
      <c r="B789" s="1405"/>
      <c r="C789" s="1407"/>
      <c r="D789" s="1405"/>
      <c r="E789" s="1405"/>
      <c r="F789" s="1405"/>
      <c r="G789" s="1405"/>
      <c r="H789" s="1405"/>
      <c r="I789" s="1405"/>
      <c r="J789" s="1405"/>
      <c r="K789" s="1405"/>
      <c r="L789" s="1405"/>
      <c r="M789" s="1405"/>
      <c r="S789" s="1731"/>
    </row>
    <row r="790" spans="1:19" x14ac:dyDescent="0.2">
      <c r="A790" s="1402"/>
      <c r="B790" s="1405"/>
      <c r="C790" s="1407"/>
      <c r="D790" s="1405"/>
      <c r="E790" s="1405"/>
      <c r="F790" s="1405"/>
      <c r="G790" s="1405"/>
      <c r="H790" s="1405"/>
      <c r="I790" s="1405"/>
      <c r="J790" s="1405"/>
      <c r="K790" s="1405"/>
      <c r="L790" s="1405"/>
      <c r="M790" s="1405"/>
      <c r="S790" s="1731"/>
    </row>
    <row r="791" spans="1:19" x14ac:dyDescent="0.2">
      <c r="A791" s="1402"/>
      <c r="B791" s="1405"/>
      <c r="C791" s="1407"/>
      <c r="D791" s="1405"/>
      <c r="E791" s="1405"/>
      <c r="F791" s="1405"/>
      <c r="G791" s="1405"/>
      <c r="H791" s="1405"/>
      <c r="I791" s="1405"/>
      <c r="J791" s="1405"/>
      <c r="K791" s="1405"/>
      <c r="L791" s="1405"/>
      <c r="M791" s="1405"/>
      <c r="S791" s="1731"/>
    </row>
    <row r="792" spans="1:19" x14ac:dyDescent="0.2">
      <c r="A792" s="1402"/>
      <c r="B792" s="1405"/>
      <c r="C792" s="1407"/>
      <c r="D792" s="1405"/>
      <c r="E792" s="1405"/>
      <c r="F792" s="1405"/>
      <c r="G792" s="1405"/>
      <c r="H792" s="1405"/>
      <c r="I792" s="1405"/>
      <c r="J792" s="1405"/>
      <c r="K792" s="1405"/>
      <c r="L792" s="1405"/>
      <c r="M792" s="1405"/>
      <c r="S792" s="1731"/>
    </row>
    <row r="793" spans="1:19" x14ac:dyDescent="0.2">
      <c r="A793" s="1402"/>
      <c r="B793" s="1405"/>
      <c r="C793" s="1407"/>
      <c r="D793" s="1405"/>
      <c r="E793" s="1405"/>
      <c r="F793" s="1405"/>
      <c r="G793" s="1405"/>
      <c r="H793" s="1405"/>
      <c r="I793" s="1405"/>
      <c r="J793" s="1405"/>
      <c r="K793" s="1405"/>
      <c r="L793" s="1405"/>
      <c r="M793" s="1405"/>
      <c r="S793" s="1731"/>
    </row>
    <row r="794" spans="1:19" x14ac:dyDescent="0.2">
      <c r="A794" s="1402"/>
      <c r="B794" s="1405"/>
      <c r="C794" s="1407"/>
      <c r="D794" s="1405"/>
      <c r="E794" s="1405"/>
      <c r="F794" s="1405"/>
      <c r="G794" s="1405"/>
      <c r="H794" s="1405"/>
      <c r="I794" s="1405"/>
      <c r="J794" s="1405"/>
      <c r="K794" s="1405"/>
      <c r="L794" s="1405"/>
      <c r="M794" s="1405"/>
      <c r="S794" s="1731"/>
    </row>
    <row r="795" spans="1:19" x14ac:dyDescent="0.2">
      <c r="A795" s="1402"/>
      <c r="B795" s="1405"/>
      <c r="C795" s="1407"/>
      <c r="D795" s="1405"/>
      <c r="E795" s="1405"/>
      <c r="F795" s="1405"/>
      <c r="G795" s="1405"/>
      <c r="H795" s="1405"/>
      <c r="I795" s="1405"/>
      <c r="J795" s="1405"/>
      <c r="K795" s="1405"/>
      <c r="L795" s="1405"/>
      <c r="M795" s="1405"/>
      <c r="S795" s="1731"/>
    </row>
    <row r="796" spans="1:19" x14ac:dyDescent="0.2">
      <c r="A796" s="1402"/>
      <c r="B796" s="1405"/>
      <c r="C796" s="1407"/>
      <c r="D796" s="1405"/>
      <c r="E796" s="1405"/>
      <c r="F796" s="1405"/>
      <c r="G796" s="1405"/>
      <c r="H796" s="1405"/>
      <c r="I796" s="1405"/>
      <c r="J796" s="1405"/>
      <c r="K796" s="1405"/>
      <c r="L796" s="1405"/>
      <c r="M796" s="1405"/>
      <c r="S796" s="1731"/>
    </row>
    <row r="797" spans="1:19" x14ac:dyDescent="0.2">
      <c r="A797" s="1402"/>
      <c r="B797" s="1405"/>
      <c r="C797" s="1407"/>
      <c r="D797" s="1405"/>
      <c r="E797" s="1405"/>
      <c r="F797" s="1405"/>
      <c r="G797" s="1405"/>
      <c r="H797" s="1405"/>
      <c r="I797" s="1405"/>
      <c r="J797" s="1405"/>
      <c r="K797" s="1405"/>
      <c r="L797" s="1405"/>
      <c r="M797" s="1405"/>
      <c r="S797" s="1731"/>
    </row>
    <row r="798" spans="1:19" x14ac:dyDescent="0.2">
      <c r="A798" s="1402"/>
      <c r="B798" s="1405"/>
      <c r="C798" s="1407"/>
      <c r="D798" s="1405"/>
      <c r="E798" s="1405"/>
      <c r="F798" s="1405"/>
      <c r="G798" s="1405"/>
      <c r="H798" s="1405"/>
      <c r="I798" s="1405"/>
      <c r="J798" s="1405"/>
      <c r="K798" s="1405"/>
      <c r="L798" s="1405"/>
      <c r="M798" s="1405"/>
      <c r="S798" s="1731"/>
    </row>
    <row r="799" spans="1:19" x14ac:dyDescent="0.2">
      <c r="A799" s="1402"/>
      <c r="B799" s="1405"/>
      <c r="C799" s="1407"/>
      <c r="D799" s="1405"/>
      <c r="E799" s="1405"/>
      <c r="F799" s="1405"/>
      <c r="G799" s="1405"/>
      <c r="H799" s="1405"/>
      <c r="I799" s="1405"/>
      <c r="J799" s="1405"/>
      <c r="K799" s="1405"/>
      <c r="L799" s="1405"/>
      <c r="M799" s="1405"/>
      <c r="S799" s="1731"/>
    </row>
    <row r="800" spans="1:19" x14ac:dyDescent="0.2">
      <c r="A800" s="1402"/>
      <c r="B800" s="1405"/>
      <c r="C800" s="1407"/>
      <c r="D800" s="1405"/>
      <c r="E800" s="1405"/>
      <c r="F800" s="1405"/>
      <c r="G800" s="1405"/>
      <c r="H800" s="1405"/>
      <c r="I800" s="1405"/>
      <c r="J800" s="1405"/>
      <c r="K800" s="1405"/>
      <c r="L800" s="1405"/>
      <c r="M800" s="1405"/>
      <c r="S800" s="1731"/>
    </row>
    <row r="801" spans="1:19" x14ac:dyDescent="0.2">
      <c r="A801" s="1402"/>
      <c r="B801" s="1405"/>
      <c r="C801" s="1407"/>
      <c r="D801" s="1405"/>
      <c r="E801" s="1405"/>
      <c r="F801" s="1405"/>
      <c r="G801" s="1405"/>
      <c r="H801" s="1405"/>
      <c r="I801" s="1405"/>
      <c r="J801" s="1405"/>
      <c r="K801" s="1405"/>
      <c r="L801" s="1405"/>
      <c r="M801" s="1405"/>
      <c r="S801" s="1731"/>
    </row>
    <row r="802" spans="1:19" x14ac:dyDescent="0.2">
      <c r="A802" s="1402"/>
      <c r="B802" s="1405"/>
      <c r="C802" s="1407"/>
      <c r="D802" s="1405"/>
      <c r="E802" s="1405"/>
      <c r="F802" s="1405"/>
      <c r="G802" s="1405"/>
      <c r="H802" s="1405"/>
      <c r="I802" s="1405"/>
      <c r="J802" s="1405"/>
      <c r="K802" s="1405"/>
      <c r="L802" s="1405"/>
      <c r="M802" s="1405"/>
      <c r="S802" s="1731"/>
    </row>
    <row r="803" spans="1:19" x14ac:dyDescent="0.2">
      <c r="A803" s="1402"/>
      <c r="B803" s="1405"/>
      <c r="C803" s="1407"/>
      <c r="D803" s="1405"/>
      <c r="E803" s="1405"/>
      <c r="F803" s="1405"/>
      <c r="G803" s="1405"/>
      <c r="H803" s="1405"/>
      <c r="I803" s="1405"/>
      <c r="J803" s="1405"/>
      <c r="K803" s="1405"/>
      <c r="L803" s="1405"/>
      <c r="M803" s="1405"/>
      <c r="S803" s="1731"/>
    </row>
    <row r="804" spans="1:19" x14ac:dyDescent="0.2">
      <c r="A804" s="1402"/>
      <c r="B804" s="1405"/>
      <c r="C804" s="1407"/>
      <c r="D804" s="1405"/>
      <c r="E804" s="1405"/>
      <c r="F804" s="1405"/>
      <c r="G804" s="1405"/>
      <c r="H804" s="1405"/>
      <c r="I804" s="1405"/>
      <c r="J804" s="1405"/>
      <c r="K804" s="1405"/>
      <c r="L804" s="1405"/>
      <c r="M804" s="1405"/>
      <c r="S804" s="1731"/>
    </row>
    <row r="805" spans="1:19" x14ac:dyDescent="0.2">
      <c r="A805" s="1402"/>
      <c r="B805" s="1405"/>
      <c r="C805" s="1407"/>
      <c r="D805" s="1405"/>
      <c r="E805" s="1405"/>
      <c r="F805" s="1405"/>
      <c r="G805" s="1405"/>
      <c r="H805" s="1405"/>
      <c r="I805" s="1405"/>
      <c r="J805" s="1405"/>
      <c r="K805" s="1405"/>
      <c r="L805" s="1405"/>
      <c r="M805" s="1405"/>
      <c r="S805" s="1731"/>
    </row>
    <row r="806" spans="1:19" x14ac:dyDescent="0.2">
      <c r="A806" s="1402"/>
      <c r="B806" s="1405"/>
      <c r="C806" s="1407"/>
      <c r="D806" s="1405"/>
      <c r="E806" s="1405"/>
      <c r="F806" s="1405"/>
      <c r="G806" s="1405"/>
      <c r="H806" s="1405"/>
      <c r="I806" s="1405"/>
      <c r="J806" s="1405"/>
      <c r="K806" s="1405"/>
      <c r="L806" s="1405"/>
      <c r="M806" s="1405"/>
      <c r="S806" s="1731"/>
    </row>
    <row r="807" spans="1:19" x14ac:dyDescent="0.2">
      <c r="A807" s="1402"/>
      <c r="B807" s="1405"/>
      <c r="C807" s="1407"/>
      <c r="D807" s="1405"/>
      <c r="E807" s="1405"/>
      <c r="F807" s="1405"/>
      <c r="G807" s="1405"/>
      <c r="H807" s="1405"/>
      <c r="I807" s="1405"/>
      <c r="J807" s="1405"/>
      <c r="K807" s="1405"/>
      <c r="L807" s="1405"/>
      <c r="M807" s="1405"/>
      <c r="S807" s="1731"/>
    </row>
    <row r="808" spans="1:19" x14ac:dyDescent="0.2">
      <c r="A808" s="1402"/>
      <c r="B808" s="1405"/>
      <c r="C808" s="1407"/>
      <c r="D808" s="1405"/>
      <c r="E808" s="1405"/>
      <c r="F808" s="1405"/>
      <c r="G808" s="1405"/>
      <c r="H808" s="1405"/>
      <c r="I808" s="1405"/>
      <c r="J808" s="1405"/>
      <c r="K808" s="1405"/>
      <c r="L808" s="1405"/>
      <c r="M808" s="1405"/>
      <c r="S808" s="1731"/>
    </row>
    <row r="809" spans="1:19" x14ac:dyDescent="0.2">
      <c r="A809" s="1402"/>
      <c r="B809" s="1405"/>
      <c r="C809" s="1407"/>
      <c r="D809" s="1405"/>
      <c r="E809" s="1405"/>
      <c r="F809" s="1405"/>
      <c r="G809" s="1405"/>
      <c r="H809" s="1405"/>
      <c r="I809" s="1405"/>
      <c r="J809" s="1405"/>
      <c r="K809" s="1405"/>
      <c r="L809" s="1405"/>
      <c r="M809" s="1405"/>
      <c r="S809" s="1731"/>
    </row>
    <row r="810" spans="1:19" x14ac:dyDescent="0.2">
      <c r="A810" s="1402"/>
      <c r="B810" s="1405"/>
      <c r="C810" s="1407"/>
      <c r="D810" s="1405"/>
      <c r="E810" s="1405"/>
      <c r="F810" s="1405"/>
      <c r="G810" s="1405"/>
      <c r="H810" s="1405"/>
      <c r="I810" s="1405"/>
      <c r="J810" s="1405"/>
      <c r="K810" s="1405"/>
      <c r="L810" s="1405"/>
      <c r="M810" s="1405"/>
      <c r="S810" s="1731"/>
    </row>
    <row r="811" spans="1:19" x14ac:dyDescent="0.2">
      <c r="A811" s="1402"/>
      <c r="B811" s="1405"/>
      <c r="C811" s="1407"/>
      <c r="D811" s="1405"/>
      <c r="E811" s="1405"/>
      <c r="F811" s="1405"/>
      <c r="G811" s="1405"/>
      <c r="H811" s="1405"/>
      <c r="I811" s="1405"/>
      <c r="J811" s="1405"/>
      <c r="K811" s="1405"/>
      <c r="L811" s="1405"/>
      <c r="M811" s="1405"/>
      <c r="S811" s="1731"/>
    </row>
    <row r="812" spans="1:19" x14ac:dyDescent="0.2">
      <c r="A812" s="1402"/>
      <c r="B812" s="1405"/>
      <c r="C812" s="1407"/>
      <c r="D812" s="1405"/>
      <c r="E812" s="1405"/>
      <c r="F812" s="1405"/>
      <c r="G812" s="1405"/>
      <c r="H812" s="1405"/>
      <c r="I812" s="1405"/>
      <c r="J812" s="1405"/>
      <c r="K812" s="1405"/>
      <c r="L812" s="1405"/>
      <c r="M812" s="1405"/>
      <c r="S812" s="1731"/>
    </row>
    <row r="813" spans="1:19" x14ac:dyDescent="0.2">
      <c r="A813" s="1402"/>
      <c r="B813" s="1405"/>
      <c r="C813" s="1407"/>
      <c r="D813" s="1405"/>
      <c r="E813" s="1405"/>
      <c r="F813" s="1405"/>
      <c r="G813" s="1405"/>
      <c r="H813" s="1405"/>
      <c r="I813" s="1405"/>
      <c r="J813" s="1405"/>
      <c r="K813" s="1405"/>
      <c r="L813" s="1405"/>
      <c r="M813" s="1405"/>
      <c r="S813" s="1731"/>
    </row>
    <row r="814" spans="1:19" x14ac:dyDescent="0.2">
      <c r="A814" s="1402"/>
      <c r="B814" s="1405"/>
      <c r="C814" s="1407"/>
      <c r="D814" s="1405"/>
      <c r="E814" s="1405"/>
      <c r="F814" s="1405"/>
      <c r="G814" s="1405"/>
      <c r="H814" s="1405"/>
      <c r="I814" s="1405"/>
      <c r="J814" s="1405"/>
      <c r="K814" s="1405"/>
      <c r="L814" s="1405"/>
      <c r="M814" s="1405"/>
      <c r="S814" s="1731"/>
    </row>
    <row r="815" spans="1:19" x14ac:dyDescent="0.2">
      <c r="A815" s="1402"/>
      <c r="B815" s="1405"/>
      <c r="C815" s="1407"/>
      <c r="D815" s="1405"/>
      <c r="E815" s="1405"/>
      <c r="F815" s="1405"/>
      <c r="G815" s="1405"/>
      <c r="H815" s="1405"/>
      <c r="I815" s="1405"/>
      <c r="J815" s="1405"/>
      <c r="K815" s="1405"/>
      <c r="L815" s="1405"/>
      <c r="M815" s="1405"/>
      <c r="S815" s="1731"/>
    </row>
    <row r="816" spans="1:19" x14ac:dyDescent="0.2">
      <c r="A816" s="1402"/>
      <c r="B816" s="1405"/>
      <c r="C816" s="1407"/>
      <c r="D816" s="1405"/>
      <c r="E816" s="1405"/>
      <c r="F816" s="1405"/>
      <c r="G816" s="1405"/>
      <c r="H816" s="1405"/>
      <c r="I816" s="1405"/>
      <c r="J816" s="1405"/>
      <c r="K816" s="1405"/>
      <c r="L816" s="1405"/>
      <c r="M816" s="1405"/>
      <c r="S816" s="1731"/>
    </row>
    <row r="817" spans="1:19" x14ac:dyDescent="0.2">
      <c r="A817" s="1402"/>
      <c r="B817" s="1405"/>
      <c r="C817" s="1407"/>
      <c r="D817" s="1405"/>
      <c r="E817" s="1405"/>
      <c r="F817" s="1405"/>
      <c r="G817" s="1405"/>
      <c r="H817" s="1405"/>
      <c r="I817" s="1405"/>
      <c r="J817" s="1405"/>
      <c r="K817" s="1405"/>
      <c r="L817" s="1405"/>
      <c r="M817" s="1405"/>
      <c r="S817" s="1731"/>
    </row>
    <row r="818" spans="1:19" x14ac:dyDescent="0.2">
      <c r="A818" s="1402"/>
      <c r="B818" s="1405"/>
      <c r="C818" s="1407"/>
      <c r="D818" s="1405"/>
      <c r="E818" s="1405"/>
      <c r="F818" s="1405"/>
      <c r="G818" s="1405"/>
      <c r="H818" s="1405"/>
      <c r="I818" s="1405"/>
      <c r="J818" s="1405"/>
      <c r="K818" s="1405"/>
      <c r="L818" s="1405"/>
      <c r="M818" s="1405"/>
      <c r="S818" s="1731"/>
    </row>
    <row r="819" spans="1:19" x14ac:dyDescent="0.2">
      <c r="A819" s="1402"/>
      <c r="B819" s="1405"/>
      <c r="C819" s="1407"/>
      <c r="D819" s="1405"/>
      <c r="E819" s="1405"/>
      <c r="F819" s="1405"/>
      <c r="G819" s="1405"/>
      <c r="H819" s="1405"/>
      <c r="I819" s="1405"/>
      <c r="J819" s="1405"/>
      <c r="K819" s="1405"/>
      <c r="L819" s="1405"/>
      <c r="M819" s="1405"/>
      <c r="S819" s="1731"/>
    </row>
    <row r="820" spans="1:19" x14ac:dyDescent="0.2">
      <c r="A820" s="1402"/>
      <c r="B820" s="1405"/>
      <c r="C820" s="1407"/>
      <c r="D820" s="1405"/>
      <c r="E820" s="1405"/>
      <c r="F820" s="1405"/>
      <c r="G820" s="1405"/>
      <c r="H820" s="1405"/>
      <c r="I820" s="1405"/>
      <c r="J820" s="1405"/>
      <c r="K820" s="1405"/>
      <c r="L820" s="1405"/>
      <c r="M820" s="1405"/>
      <c r="S820" s="1731"/>
    </row>
    <row r="821" spans="1:19" x14ac:dyDescent="0.2">
      <c r="A821" s="1402"/>
      <c r="B821" s="1405"/>
      <c r="C821" s="1407"/>
      <c r="D821" s="1405"/>
      <c r="E821" s="1405"/>
      <c r="F821" s="1405"/>
      <c r="G821" s="1405"/>
      <c r="H821" s="1405"/>
      <c r="I821" s="1405"/>
      <c r="J821" s="1405"/>
      <c r="K821" s="1405"/>
      <c r="L821" s="1405"/>
      <c r="M821" s="1405"/>
      <c r="S821" s="1731"/>
    </row>
    <row r="822" spans="1:19" x14ac:dyDescent="0.2">
      <c r="A822" s="1402"/>
      <c r="B822" s="1405"/>
      <c r="C822" s="1407"/>
      <c r="D822" s="1405"/>
      <c r="E822" s="1405"/>
      <c r="F822" s="1405"/>
      <c r="G822" s="1405"/>
      <c r="H822" s="1405"/>
      <c r="I822" s="1405"/>
      <c r="J822" s="1405"/>
      <c r="K822" s="1405"/>
      <c r="L822" s="1405"/>
      <c r="M822" s="1405"/>
      <c r="S822" s="1731"/>
    </row>
    <row r="823" spans="1:19" x14ac:dyDescent="0.2">
      <c r="A823" s="1402"/>
      <c r="B823" s="1405"/>
      <c r="C823" s="1407"/>
      <c r="D823" s="1405"/>
      <c r="E823" s="1405"/>
      <c r="F823" s="1405"/>
      <c r="G823" s="1405"/>
      <c r="H823" s="1405"/>
      <c r="I823" s="1405"/>
      <c r="J823" s="1405"/>
      <c r="K823" s="1405"/>
      <c r="L823" s="1405"/>
      <c r="M823" s="1405"/>
      <c r="S823" s="1731"/>
    </row>
    <row r="824" spans="1:19" x14ac:dyDescent="0.2">
      <c r="A824" s="1402"/>
      <c r="B824" s="1405"/>
      <c r="C824" s="1407"/>
      <c r="D824" s="1405"/>
      <c r="E824" s="1405"/>
      <c r="F824" s="1405"/>
      <c r="G824" s="1405"/>
      <c r="H824" s="1405"/>
      <c r="I824" s="1405"/>
      <c r="J824" s="1405"/>
      <c r="K824" s="1405"/>
      <c r="L824" s="1405"/>
      <c r="M824" s="1405"/>
      <c r="S824" s="1731"/>
    </row>
    <row r="825" spans="1:19" x14ac:dyDescent="0.2">
      <c r="A825" s="1402"/>
      <c r="B825" s="1405"/>
      <c r="C825" s="1407"/>
      <c r="D825" s="1405"/>
      <c r="E825" s="1405"/>
      <c r="F825" s="1405"/>
      <c r="G825" s="1405"/>
      <c r="H825" s="1405"/>
      <c r="I825" s="1405"/>
      <c r="J825" s="1405"/>
      <c r="K825" s="1405"/>
      <c r="L825" s="1405"/>
      <c r="M825" s="1405"/>
      <c r="S825" s="1731"/>
    </row>
    <row r="826" spans="1:19" x14ac:dyDescent="0.2">
      <c r="A826" s="1402"/>
      <c r="B826" s="1405"/>
      <c r="C826" s="1407"/>
      <c r="D826" s="1405"/>
      <c r="E826" s="1405"/>
      <c r="F826" s="1405"/>
      <c r="G826" s="1405"/>
      <c r="H826" s="1405"/>
      <c r="I826" s="1405"/>
      <c r="J826" s="1405"/>
      <c r="K826" s="1405"/>
      <c r="L826" s="1405"/>
      <c r="M826" s="1405"/>
      <c r="S826" s="1731"/>
    </row>
    <row r="827" spans="1:19" x14ac:dyDescent="0.2">
      <c r="A827" s="1402"/>
      <c r="B827" s="1405"/>
      <c r="C827" s="1407"/>
      <c r="D827" s="1405"/>
      <c r="E827" s="1405"/>
      <c r="F827" s="1405"/>
      <c r="G827" s="1405"/>
      <c r="H827" s="1405"/>
      <c r="I827" s="1405"/>
      <c r="J827" s="1405"/>
      <c r="K827" s="1405"/>
      <c r="L827" s="1405"/>
      <c r="M827" s="1405"/>
      <c r="S827" s="1731"/>
    </row>
    <row r="828" spans="1:19" x14ac:dyDescent="0.2">
      <c r="A828" s="1402"/>
      <c r="B828" s="1405"/>
      <c r="C828" s="1407"/>
      <c r="D828" s="1405"/>
      <c r="E828" s="1405"/>
      <c r="F828" s="1405"/>
      <c r="G828" s="1405"/>
      <c r="H828" s="1405"/>
      <c r="I828" s="1405"/>
      <c r="J828" s="1405"/>
      <c r="K828" s="1405"/>
      <c r="L828" s="1405"/>
      <c r="M828" s="1405"/>
      <c r="S828" s="1731"/>
    </row>
    <row r="829" spans="1:19" x14ac:dyDescent="0.2">
      <c r="A829" s="1402"/>
      <c r="B829" s="1405"/>
      <c r="C829" s="1407"/>
      <c r="D829" s="1405"/>
      <c r="E829" s="1405"/>
      <c r="F829" s="1405"/>
      <c r="G829" s="1405"/>
      <c r="H829" s="1405"/>
      <c r="I829" s="1405"/>
      <c r="J829" s="1405"/>
      <c r="K829" s="1405"/>
      <c r="L829" s="1405"/>
      <c r="M829" s="1405"/>
      <c r="S829" s="1731"/>
    </row>
    <row r="830" spans="1:19" x14ac:dyDescent="0.2">
      <c r="A830" s="1402"/>
      <c r="B830" s="1405"/>
      <c r="C830" s="1407"/>
      <c r="D830" s="1405"/>
      <c r="E830" s="1405"/>
      <c r="F830" s="1405"/>
      <c r="G830" s="1405"/>
      <c r="H830" s="1405"/>
      <c r="I830" s="1405"/>
      <c r="J830" s="1405"/>
      <c r="K830" s="1405"/>
      <c r="L830" s="1405"/>
      <c r="M830" s="1405"/>
      <c r="S830" s="1731"/>
    </row>
    <row r="831" spans="1:19" x14ac:dyDescent="0.2">
      <c r="A831" s="1402"/>
      <c r="B831" s="1405"/>
      <c r="C831" s="1407"/>
      <c r="D831" s="1405"/>
      <c r="E831" s="1405"/>
      <c r="F831" s="1405"/>
      <c r="G831" s="1405"/>
      <c r="H831" s="1405"/>
      <c r="I831" s="1405"/>
      <c r="J831" s="1405"/>
      <c r="K831" s="1405"/>
      <c r="L831" s="1405"/>
      <c r="M831" s="1405"/>
      <c r="S831" s="1731"/>
    </row>
    <row r="832" spans="1:19" x14ac:dyDescent="0.2">
      <c r="A832" s="1402"/>
      <c r="B832" s="1405"/>
      <c r="C832" s="1407"/>
      <c r="D832" s="1405"/>
      <c r="E832" s="1405"/>
      <c r="F832" s="1405"/>
      <c r="G832" s="1405"/>
      <c r="H832" s="1405"/>
      <c r="I832" s="1405"/>
      <c r="J832" s="1405"/>
      <c r="K832" s="1405"/>
      <c r="L832" s="1405"/>
      <c r="M832" s="1405"/>
      <c r="S832" s="1731"/>
    </row>
    <row r="833" spans="1:19" x14ac:dyDescent="0.2">
      <c r="A833" s="1402"/>
      <c r="B833" s="1405"/>
      <c r="C833" s="1407"/>
      <c r="D833" s="1405"/>
      <c r="E833" s="1405"/>
      <c r="F833" s="1405"/>
      <c r="G833" s="1405"/>
      <c r="H833" s="1405"/>
      <c r="I833" s="1405"/>
      <c r="J833" s="1405"/>
      <c r="K833" s="1405"/>
      <c r="L833" s="1405"/>
      <c r="M833" s="1405"/>
      <c r="S833" s="1731"/>
    </row>
    <row r="834" spans="1:19" x14ac:dyDescent="0.2">
      <c r="A834" s="1402"/>
      <c r="B834" s="1405"/>
      <c r="C834" s="1407"/>
      <c r="D834" s="1405"/>
      <c r="E834" s="1405"/>
      <c r="F834" s="1405"/>
      <c r="G834" s="1405"/>
      <c r="H834" s="1405"/>
      <c r="I834" s="1405"/>
      <c r="J834" s="1405"/>
      <c r="K834" s="1405"/>
      <c r="L834" s="1405"/>
      <c r="M834" s="1405"/>
      <c r="S834" s="1731"/>
    </row>
    <row r="835" spans="1:19" x14ac:dyDescent="0.2">
      <c r="A835" s="1402"/>
      <c r="B835" s="1405"/>
      <c r="C835" s="1407"/>
      <c r="D835" s="1405"/>
      <c r="E835" s="1405"/>
      <c r="F835" s="1405"/>
      <c r="G835" s="1405"/>
      <c r="H835" s="1405"/>
      <c r="I835" s="1405"/>
      <c r="J835" s="1405"/>
      <c r="K835" s="1405"/>
      <c r="L835" s="1405"/>
      <c r="M835" s="1405"/>
      <c r="S835" s="1731"/>
    </row>
    <row r="836" spans="1:19" x14ac:dyDescent="0.2">
      <c r="A836" s="1402"/>
      <c r="B836" s="1405"/>
      <c r="C836" s="1407"/>
      <c r="D836" s="1405"/>
      <c r="E836" s="1405"/>
      <c r="F836" s="1405"/>
      <c r="G836" s="1405"/>
      <c r="H836" s="1405"/>
      <c r="I836" s="1405"/>
      <c r="J836" s="1405"/>
      <c r="K836" s="1405"/>
      <c r="L836" s="1405"/>
      <c r="M836" s="1405"/>
      <c r="S836" s="1731"/>
    </row>
    <row r="837" spans="1:19" x14ac:dyDescent="0.2">
      <c r="A837" s="1402"/>
      <c r="B837" s="1405"/>
      <c r="C837" s="1407"/>
      <c r="D837" s="1405"/>
      <c r="E837" s="1405"/>
      <c r="F837" s="1405"/>
      <c r="G837" s="1405"/>
      <c r="H837" s="1405"/>
      <c r="I837" s="1405"/>
      <c r="J837" s="1405"/>
      <c r="K837" s="1405"/>
      <c r="L837" s="1405"/>
      <c r="M837" s="1405"/>
      <c r="S837" s="1731"/>
    </row>
    <row r="838" spans="1:19" x14ac:dyDescent="0.2">
      <c r="A838" s="1402"/>
      <c r="B838" s="1405"/>
      <c r="C838" s="1407"/>
      <c r="D838" s="1405"/>
      <c r="E838" s="1405"/>
      <c r="F838" s="1405"/>
      <c r="G838" s="1405"/>
      <c r="H838" s="1405"/>
      <c r="I838" s="1405"/>
      <c r="J838" s="1405"/>
      <c r="K838" s="1405"/>
      <c r="L838" s="1405"/>
      <c r="M838" s="1405"/>
      <c r="S838" s="1731"/>
    </row>
    <row r="839" spans="1:19" x14ac:dyDescent="0.2">
      <c r="A839" s="1402"/>
      <c r="B839" s="1405"/>
      <c r="C839" s="1407"/>
      <c r="D839" s="1405"/>
      <c r="E839" s="1405"/>
      <c r="F839" s="1405"/>
      <c r="G839" s="1405"/>
      <c r="H839" s="1405"/>
      <c r="I839" s="1405"/>
      <c r="J839" s="1405"/>
      <c r="K839" s="1405"/>
      <c r="L839" s="1405"/>
      <c r="M839" s="1405"/>
      <c r="S839" s="1731"/>
    </row>
    <row r="840" spans="1:19" x14ac:dyDescent="0.2">
      <c r="A840" s="1402"/>
      <c r="B840" s="1405"/>
      <c r="C840" s="1407"/>
      <c r="D840" s="1405"/>
      <c r="E840" s="1405"/>
      <c r="F840" s="1405"/>
      <c r="G840" s="1405"/>
      <c r="H840" s="1405"/>
      <c r="I840" s="1405"/>
      <c r="J840" s="1405"/>
      <c r="K840" s="1405"/>
      <c r="L840" s="1405"/>
      <c r="M840" s="1405"/>
      <c r="S840" s="1731"/>
    </row>
    <row r="841" spans="1:19" x14ac:dyDescent="0.2">
      <c r="A841" s="1402"/>
      <c r="B841" s="1405"/>
      <c r="C841" s="1407"/>
      <c r="D841" s="1405"/>
      <c r="E841" s="1405"/>
      <c r="F841" s="1405"/>
      <c r="G841" s="1405"/>
      <c r="H841" s="1405"/>
      <c r="I841" s="1405"/>
      <c r="J841" s="1405"/>
      <c r="K841" s="1405"/>
      <c r="L841" s="1405"/>
      <c r="M841" s="1405"/>
      <c r="S841" s="1731"/>
    </row>
    <row r="842" spans="1:19" x14ac:dyDescent="0.2">
      <c r="A842" s="1402"/>
      <c r="B842" s="1405"/>
      <c r="C842" s="1407"/>
      <c r="D842" s="1405"/>
      <c r="E842" s="1405"/>
      <c r="F842" s="1405"/>
      <c r="G842" s="1405"/>
      <c r="H842" s="1405"/>
      <c r="I842" s="1405"/>
      <c r="J842" s="1405"/>
      <c r="K842" s="1405"/>
      <c r="L842" s="1405"/>
      <c r="M842" s="1405"/>
      <c r="S842" s="1731"/>
    </row>
    <row r="843" spans="1:19" x14ac:dyDescent="0.2">
      <c r="A843" s="1402"/>
      <c r="B843" s="1405"/>
      <c r="C843" s="1407"/>
      <c r="D843" s="1405"/>
      <c r="E843" s="1405"/>
      <c r="F843" s="1405"/>
      <c r="G843" s="1405"/>
      <c r="H843" s="1405"/>
      <c r="I843" s="1405"/>
      <c r="J843" s="1405"/>
      <c r="K843" s="1405"/>
      <c r="L843" s="1405"/>
      <c r="M843" s="1405"/>
      <c r="S843" s="1731"/>
    </row>
    <row r="844" spans="1:19" x14ac:dyDescent="0.2">
      <c r="A844" s="1402"/>
      <c r="B844" s="1405"/>
      <c r="C844" s="1407"/>
      <c r="D844" s="1405"/>
      <c r="E844" s="1405"/>
      <c r="F844" s="1405"/>
      <c r="G844" s="1405"/>
      <c r="H844" s="1405"/>
      <c r="I844" s="1405"/>
      <c r="J844" s="1405"/>
      <c r="K844" s="1405"/>
      <c r="L844" s="1405"/>
      <c r="M844" s="1405"/>
      <c r="S844" s="1731"/>
    </row>
    <row r="845" spans="1:19" x14ac:dyDescent="0.2">
      <c r="A845" s="1402"/>
      <c r="B845" s="1405"/>
      <c r="C845" s="1407"/>
      <c r="D845" s="1405"/>
      <c r="E845" s="1405"/>
      <c r="F845" s="1405"/>
      <c r="G845" s="1405"/>
      <c r="H845" s="1405"/>
      <c r="I845" s="1405"/>
      <c r="J845" s="1405"/>
      <c r="K845" s="1405"/>
      <c r="L845" s="1405"/>
      <c r="M845" s="1405"/>
      <c r="S845" s="1731"/>
    </row>
    <row r="846" spans="1:19" x14ac:dyDescent="0.2">
      <c r="A846" s="1402"/>
      <c r="B846" s="1405"/>
      <c r="C846" s="1407"/>
      <c r="D846" s="1405"/>
      <c r="E846" s="1405"/>
      <c r="F846" s="1405"/>
      <c r="G846" s="1405"/>
      <c r="H846" s="1405"/>
      <c r="I846" s="1405"/>
      <c r="J846" s="1405"/>
      <c r="K846" s="1405"/>
      <c r="L846" s="1405"/>
      <c r="M846" s="1405"/>
      <c r="S846" s="1731"/>
    </row>
    <row r="847" spans="1:19" x14ac:dyDescent="0.2">
      <c r="A847" s="1402"/>
      <c r="B847" s="1405"/>
      <c r="C847" s="1407"/>
      <c r="D847" s="1405"/>
      <c r="E847" s="1405"/>
      <c r="F847" s="1405"/>
      <c r="G847" s="1405"/>
      <c r="H847" s="1405"/>
      <c r="I847" s="1405"/>
      <c r="J847" s="1405"/>
      <c r="K847" s="1405"/>
      <c r="L847" s="1405"/>
      <c r="M847" s="1405"/>
      <c r="S847" s="1731"/>
    </row>
    <row r="848" spans="1:19" x14ac:dyDescent="0.2">
      <c r="A848" s="1402"/>
      <c r="B848" s="1405"/>
      <c r="C848" s="1407"/>
      <c r="D848" s="1405"/>
      <c r="E848" s="1405"/>
      <c r="F848" s="1405"/>
      <c r="G848" s="1405"/>
      <c r="H848" s="1405"/>
      <c r="I848" s="1405"/>
      <c r="J848" s="1405"/>
      <c r="K848" s="1405"/>
      <c r="L848" s="1405"/>
      <c r="M848" s="1405"/>
      <c r="S848" s="1731"/>
    </row>
    <row r="849" spans="1:19" x14ac:dyDescent="0.2">
      <c r="A849" s="1402"/>
      <c r="B849" s="1405"/>
      <c r="C849" s="1407"/>
      <c r="D849" s="1405"/>
      <c r="E849" s="1405"/>
      <c r="F849" s="1405"/>
      <c r="G849" s="1405"/>
      <c r="H849" s="1405"/>
      <c r="I849" s="1405"/>
      <c r="J849" s="1405"/>
      <c r="K849" s="1405"/>
      <c r="L849" s="1405"/>
      <c r="M849" s="1405"/>
      <c r="S849" s="1731"/>
    </row>
    <row r="850" spans="1:19" x14ac:dyDescent="0.2">
      <c r="A850" s="1402"/>
      <c r="B850" s="1405"/>
      <c r="C850" s="1407"/>
      <c r="D850" s="1405"/>
      <c r="E850" s="1405"/>
      <c r="F850" s="1405"/>
      <c r="G850" s="1405"/>
      <c r="H850" s="1405"/>
      <c r="I850" s="1405"/>
      <c r="J850" s="1405"/>
      <c r="K850" s="1405"/>
      <c r="L850" s="1405"/>
      <c r="M850" s="1405"/>
      <c r="S850" s="1731"/>
    </row>
    <row r="851" spans="1:19" x14ac:dyDescent="0.2">
      <c r="A851" s="1402"/>
      <c r="B851" s="1405"/>
      <c r="C851" s="1407"/>
      <c r="D851" s="1405"/>
      <c r="E851" s="1405"/>
      <c r="F851" s="1405"/>
      <c r="G851" s="1405"/>
      <c r="H851" s="1405"/>
      <c r="I851" s="1405"/>
      <c r="J851" s="1405"/>
      <c r="K851" s="1405"/>
      <c r="L851" s="1405"/>
      <c r="M851" s="1405"/>
      <c r="S851" s="1731"/>
    </row>
    <row r="852" spans="1:19" x14ac:dyDescent="0.2">
      <c r="A852" s="1402"/>
      <c r="B852" s="1405"/>
      <c r="C852" s="1407"/>
      <c r="D852" s="1405"/>
      <c r="E852" s="1405"/>
      <c r="F852" s="1405"/>
      <c r="G852" s="1405"/>
      <c r="H852" s="1405"/>
      <c r="I852" s="1405"/>
      <c r="J852" s="1405"/>
      <c r="K852" s="1405"/>
      <c r="L852" s="1405"/>
      <c r="M852" s="1405"/>
      <c r="S852" s="1731"/>
    </row>
    <row r="853" spans="1:19" x14ac:dyDescent="0.2">
      <c r="A853" s="1402"/>
      <c r="B853" s="1405"/>
      <c r="C853" s="1407"/>
      <c r="D853" s="1405"/>
      <c r="E853" s="1405"/>
      <c r="F853" s="1405"/>
      <c r="G853" s="1405"/>
      <c r="H853" s="1405"/>
      <c r="I853" s="1405"/>
      <c r="J853" s="1405"/>
      <c r="K853" s="1405"/>
      <c r="L853" s="1405"/>
      <c r="M853" s="1405"/>
      <c r="S853" s="1731"/>
    </row>
    <row r="854" spans="1:19" x14ac:dyDescent="0.2">
      <c r="A854" s="1402"/>
      <c r="B854" s="1405"/>
      <c r="C854" s="1407"/>
      <c r="D854" s="1405"/>
      <c r="E854" s="1405"/>
      <c r="F854" s="1405"/>
      <c r="G854" s="1405"/>
      <c r="H854" s="1405"/>
      <c r="I854" s="1405"/>
      <c r="J854" s="1405"/>
      <c r="K854" s="1405"/>
      <c r="L854" s="1405"/>
      <c r="M854" s="1405"/>
      <c r="S854" s="1731"/>
    </row>
    <row r="855" spans="1:19" x14ac:dyDescent="0.2">
      <c r="A855" s="1402"/>
      <c r="B855" s="1405"/>
      <c r="C855" s="1407"/>
      <c r="D855" s="1405"/>
      <c r="E855" s="1405"/>
      <c r="F855" s="1405"/>
      <c r="G855" s="1405"/>
      <c r="H855" s="1405"/>
      <c r="I855" s="1405"/>
      <c r="J855" s="1405"/>
      <c r="K855" s="1405"/>
      <c r="L855" s="1405"/>
      <c r="M855" s="1405"/>
      <c r="S855" s="1731"/>
    </row>
    <row r="856" spans="1:19" x14ac:dyDescent="0.2">
      <c r="A856" s="1402"/>
      <c r="B856" s="1405"/>
      <c r="C856" s="1407"/>
      <c r="D856" s="1405"/>
      <c r="E856" s="1405"/>
      <c r="F856" s="1405"/>
      <c r="G856" s="1405"/>
      <c r="H856" s="1405"/>
      <c r="I856" s="1405"/>
      <c r="J856" s="1405"/>
      <c r="K856" s="1405"/>
      <c r="L856" s="1405"/>
      <c r="M856" s="1405"/>
      <c r="S856" s="1731"/>
    </row>
    <row r="857" spans="1:19" x14ac:dyDescent="0.2">
      <c r="A857" s="1402"/>
      <c r="B857" s="1405"/>
      <c r="C857" s="1407"/>
      <c r="D857" s="1405"/>
      <c r="E857" s="1405"/>
      <c r="F857" s="1405"/>
      <c r="G857" s="1405"/>
      <c r="H857" s="1405"/>
      <c r="I857" s="1405"/>
      <c r="J857" s="1405"/>
      <c r="K857" s="1405"/>
      <c r="L857" s="1405"/>
      <c r="M857" s="1405"/>
      <c r="S857" s="1731"/>
    </row>
    <row r="858" spans="1:19" x14ac:dyDescent="0.2">
      <c r="A858" s="1402"/>
      <c r="B858" s="1405"/>
      <c r="C858" s="1407"/>
      <c r="D858" s="1405"/>
      <c r="E858" s="1405"/>
      <c r="F858" s="1405"/>
      <c r="G858" s="1405"/>
      <c r="H858" s="1405"/>
      <c r="I858" s="1405"/>
      <c r="J858" s="1405"/>
      <c r="K858" s="1405"/>
      <c r="L858" s="1405"/>
      <c r="M858" s="1405"/>
      <c r="S858" s="1731"/>
    </row>
    <row r="859" spans="1:19" x14ac:dyDescent="0.2">
      <c r="A859" s="1402"/>
      <c r="B859" s="1405"/>
      <c r="C859" s="1407"/>
      <c r="D859" s="1405"/>
      <c r="E859" s="1405"/>
      <c r="F859" s="1405"/>
      <c r="G859" s="1405"/>
      <c r="H859" s="1405"/>
      <c r="I859" s="1405"/>
      <c r="J859" s="1405"/>
      <c r="K859" s="1405"/>
      <c r="L859" s="1405"/>
      <c r="M859" s="1405"/>
      <c r="S859" s="1731"/>
    </row>
    <row r="860" spans="1:19" x14ac:dyDescent="0.2">
      <c r="A860" s="1402"/>
      <c r="B860" s="1405"/>
      <c r="C860" s="1407"/>
      <c r="D860" s="1405"/>
      <c r="E860" s="1405"/>
      <c r="F860" s="1405"/>
      <c r="G860" s="1405"/>
      <c r="H860" s="1405"/>
      <c r="I860" s="1405"/>
      <c r="J860" s="1405"/>
      <c r="K860" s="1405"/>
      <c r="L860" s="1405"/>
      <c r="M860" s="1405"/>
      <c r="S860" s="1731"/>
    </row>
    <row r="861" spans="1:19" x14ac:dyDescent="0.2">
      <c r="A861" s="1402"/>
      <c r="B861" s="1405"/>
      <c r="C861" s="1407"/>
      <c r="D861" s="1405"/>
      <c r="E861" s="1405"/>
      <c r="F861" s="1405"/>
      <c r="G861" s="1405"/>
      <c r="H861" s="1405"/>
      <c r="I861" s="1405"/>
      <c r="J861" s="1405"/>
      <c r="K861" s="1405"/>
      <c r="L861" s="1405"/>
      <c r="M861" s="1405"/>
      <c r="S861" s="1731"/>
    </row>
    <row r="862" spans="1:19" x14ac:dyDescent="0.2">
      <c r="A862" s="1402"/>
      <c r="B862" s="1405"/>
      <c r="C862" s="1407"/>
      <c r="D862" s="1405"/>
      <c r="E862" s="1405"/>
      <c r="F862" s="1405"/>
      <c r="G862" s="1405"/>
      <c r="H862" s="1405"/>
      <c r="I862" s="1405"/>
      <c r="J862" s="1405"/>
      <c r="K862" s="1405"/>
      <c r="L862" s="1405"/>
      <c r="M862" s="1405"/>
      <c r="S862" s="1731"/>
    </row>
    <row r="863" spans="1:19" x14ac:dyDescent="0.2">
      <c r="A863" s="1402"/>
      <c r="B863" s="1405"/>
      <c r="C863" s="1407"/>
      <c r="D863" s="1405"/>
      <c r="E863" s="1405"/>
      <c r="F863" s="1405"/>
      <c r="G863" s="1405"/>
      <c r="H863" s="1405"/>
      <c r="I863" s="1405"/>
      <c r="J863" s="1405"/>
      <c r="K863" s="1405"/>
      <c r="L863" s="1405"/>
      <c r="M863" s="1405"/>
      <c r="S863" s="1731"/>
    </row>
    <row r="864" spans="1:19" x14ac:dyDescent="0.2">
      <c r="A864" s="1402"/>
      <c r="B864" s="1405"/>
      <c r="C864" s="1407"/>
      <c r="D864" s="1405"/>
      <c r="E864" s="1405"/>
      <c r="F864" s="1405"/>
      <c r="G864" s="1405"/>
      <c r="H864" s="1405"/>
      <c r="I864" s="1405"/>
      <c r="J864" s="1405"/>
      <c r="K864" s="1405"/>
      <c r="L864" s="1405"/>
      <c r="M864" s="1405"/>
      <c r="S864" s="1731"/>
    </row>
    <row r="865" spans="1:19" x14ac:dyDescent="0.2">
      <c r="A865" s="1402"/>
      <c r="B865" s="1405"/>
      <c r="C865" s="1407"/>
      <c r="D865" s="1405"/>
      <c r="E865" s="1405"/>
      <c r="F865" s="1405"/>
      <c r="G865" s="1405"/>
      <c r="H865" s="1405"/>
      <c r="I865" s="1405"/>
      <c r="J865" s="1405"/>
      <c r="K865" s="1405"/>
      <c r="L865" s="1405"/>
      <c r="M865" s="1405"/>
      <c r="S865" s="1731"/>
    </row>
    <row r="866" spans="1:19" x14ac:dyDescent="0.2">
      <c r="A866" s="1402"/>
      <c r="B866" s="1405"/>
      <c r="C866" s="1407"/>
      <c r="D866" s="1405"/>
      <c r="E866" s="1405"/>
      <c r="F866" s="1405"/>
      <c r="G866" s="1405"/>
      <c r="H866" s="1405"/>
      <c r="I866" s="1405"/>
      <c r="J866" s="1405"/>
      <c r="K866" s="1405"/>
      <c r="L866" s="1405"/>
      <c r="M866" s="1405"/>
      <c r="S866" s="1731"/>
    </row>
    <row r="867" spans="1:19" x14ac:dyDescent="0.2">
      <c r="A867" s="1402"/>
      <c r="B867" s="1405"/>
      <c r="C867" s="1407"/>
      <c r="D867" s="1405"/>
      <c r="E867" s="1405"/>
      <c r="F867" s="1405"/>
      <c r="G867" s="1405"/>
      <c r="H867" s="1405"/>
      <c r="I867" s="1405"/>
      <c r="J867" s="1405"/>
      <c r="K867" s="1405"/>
      <c r="L867" s="1405"/>
      <c r="M867" s="1405"/>
      <c r="S867" s="1731"/>
    </row>
    <row r="868" spans="1:19" x14ac:dyDescent="0.2">
      <c r="A868" s="1402"/>
      <c r="B868" s="1405"/>
      <c r="C868" s="1407"/>
      <c r="D868" s="1405"/>
      <c r="E868" s="1405"/>
      <c r="F868" s="1405"/>
      <c r="G868" s="1405"/>
      <c r="H868" s="1405"/>
      <c r="I868" s="1405"/>
      <c r="J868" s="1405"/>
      <c r="K868" s="1405"/>
      <c r="L868" s="1405"/>
      <c r="M868" s="1405"/>
      <c r="S868" s="1731"/>
    </row>
    <row r="869" spans="1:19" x14ac:dyDescent="0.2">
      <c r="A869" s="1402"/>
      <c r="B869" s="1405"/>
      <c r="C869" s="1407"/>
      <c r="D869" s="1405"/>
      <c r="E869" s="1405"/>
      <c r="F869" s="1405"/>
      <c r="G869" s="1405"/>
      <c r="H869" s="1405"/>
      <c r="I869" s="1405"/>
      <c r="J869" s="1405"/>
      <c r="K869" s="1405"/>
      <c r="L869" s="1405"/>
      <c r="M869" s="1405"/>
      <c r="S869" s="1731"/>
    </row>
    <row r="870" spans="1:19" x14ac:dyDescent="0.2">
      <c r="A870" s="1402"/>
      <c r="B870" s="1405"/>
      <c r="C870" s="1407"/>
      <c r="D870" s="1405"/>
      <c r="E870" s="1405"/>
      <c r="F870" s="1405"/>
      <c r="G870" s="1405"/>
      <c r="H870" s="1405"/>
      <c r="I870" s="1405"/>
      <c r="J870" s="1405"/>
      <c r="K870" s="1405"/>
      <c r="L870" s="1405"/>
      <c r="M870" s="1405"/>
      <c r="S870" s="1731"/>
    </row>
    <row r="871" spans="1:19" x14ac:dyDescent="0.2">
      <c r="A871" s="1402"/>
      <c r="B871" s="1405"/>
      <c r="C871" s="1407"/>
      <c r="D871" s="1405"/>
      <c r="E871" s="1405"/>
      <c r="F871" s="1405"/>
      <c r="G871" s="1405"/>
      <c r="H871" s="1405"/>
      <c r="I871" s="1405"/>
      <c r="J871" s="1405"/>
      <c r="K871" s="1405"/>
      <c r="L871" s="1405"/>
      <c r="M871" s="1405"/>
      <c r="S871" s="1731"/>
    </row>
    <row r="872" spans="1:19" x14ac:dyDescent="0.2">
      <c r="A872" s="1402"/>
      <c r="B872" s="1405"/>
      <c r="C872" s="1407"/>
      <c r="D872" s="1405"/>
      <c r="E872" s="1405"/>
      <c r="F872" s="1405"/>
      <c r="G872" s="1405"/>
      <c r="H872" s="1405"/>
      <c r="I872" s="1405"/>
      <c r="J872" s="1405"/>
      <c r="K872" s="1405"/>
      <c r="L872" s="1405"/>
      <c r="M872" s="1405"/>
      <c r="S872" s="1731"/>
    </row>
    <row r="873" spans="1:19" x14ac:dyDescent="0.2">
      <c r="A873" s="1402"/>
      <c r="B873" s="1405"/>
      <c r="C873" s="1407"/>
      <c r="D873" s="1405"/>
      <c r="E873" s="1405"/>
      <c r="F873" s="1405"/>
      <c r="G873" s="1405"/>
      <c r="H873" s="1405"/>
      <c r="I873" s="1405"/>
      <c r="J873" s="1405"/>
      <c r="K873" s="1405"/>
      <c r="L873" s="1405"/>
      <c r="M873" s="1405"/>
      <c r="S873" s="1731"/>
    </row>
    <row r="874" spans="1:19" x14ac:dyDescent="0.2">
      <c r="A874" s="1402"/>
      <c r="B874" s="1405"/>
      <c r="C874" s="1407"/>
      <c r="D874" s="1405"/>
      <c r="E874" s="1405"/>
      <c r="F874" s="1405"/>
      <c r="G874" s="1405"/>
      <c r="H874" s="1405"/>
      <c r="I874" s="1405"/>
      <c r="J874" s="1405"/>
      <c r="K874" s="1405"/>
      <c r="L874" s="1405"/>
      <c r="M874" s="1405"/>
      <c r="S874" s="1731"/>
    </row>
    <row r="875" spans="1:19" x14ac:dyDescent="0.2">
      <c r="A875" s="1402"/>
      <c r="B875" s="1405"/>
      <c r="C875" s="1407"/>
      <c r="D875" s="1405"/>
      <c r="E875" s="1405"/>
      <c r="F875" s="1405"/>
      <c r="G875" s="1405"/>
      <c r="H875" s="1405"/>
      <c r="I875" s="1405"/>
      <c r="J875" s="1405"/>
      <c r="K875" s="1405"/>
      <c r="L875" s="1405"/>
      <c r="M875" s="1405"/>
      <c r="S875" s="1731"/>
    </row>
    <row r="876" spans="1:19" x14ac:dyDescent="0.2">
      <c r="A876" s="1402"/>
      <c r="B876" s="1405"/>
      <c r="C876" s="1407"/>
      <c r="D876" s="1405"/>
      <c r="E876" s="1405"/>
      <c r="F876" s="1405"/>
      <c r="G876" s="1405"/>
      <c r="H876" s="1405"/>
      <c r="I876" s="1405"/>
      <c r="J876" s="1405"/>
      <c r="K876" s="1405"/>
      <c r="L876" s="1405"/>
      <c r="M876" s="1405"/>
      <c r="S876" s="1731"/>
    </row>
    <row r="877" spans="1:19" x14ac:dyDescent="0.2">
      <c r="A877" s="1402"/>
      <c r="B877" s="1405"/>
      <c r="C877" s="1407"/>
      <c r="D877" s="1405"/>
      <c r="E877" s="1405"/>
      <c r="F877" s="1405"/>
      <c r="G877" s="1405"/>
      <c r="H877" s="1405"/>
      <c r="I877" s="1405"/>
      <c r="J877" s="1405"/>
      <c r="K877" s="1405"/>
      <c r="L877" s="1405"/>
      <c r="M877" s="1405"/>
      <c r="S877" s="1731"/>
    </row>
    <row r="878" spans="1:19" x14ac:dyDescent="0.2">
      <c r="A878" s="1402"/>
      <c r="B878" s="1405"/>
      <c r="C878" s="1407"/>
      <c r="D878" s="1405"/>
      <c r="E878" s="1405"/>
      <c r="F878" s="1405"/>
      <c r="G878" s="1405"/>
      <c r="H878" s="1405"/>
      <c r="I878" s="1405"/>
      <c r="J878" s="1405"/>
      <c r="K878" s="1405"/>
      <c r="L878" s="1405"/>
      <c r="M878" s="1405"/>
      <c r="S878" s="1731"/>
    </row>
    <row r="879" spans="1:19" x14ac:dyDescent="0.2">
      <c r="A879" s="1402"/>
      <c r="B879" s="1405"/>
      <c r="C879" s="1407"/>
      <c r="D879" s="1405"/>
      <c r="E879" s="1405"/>
      <c r="F879" s="1405"/>
      <c r="G879" s="1405"/>
      <c r="H879" s="1405"/>
      <c r="I879" s="1405"/>
      <c r="J879" s="1405"/>
      <c r="K879" s="1405"/>
      <c r="L879" s="1405"/>
      <c r="M879" s="1405"/>
      <c r="S879" s="1731"/>
    </row>
    <row r="880" spans="1:19" x14ac:dyDescent="0.2">
      <c r="A880" s="1402"/>
      <c r="B880" s="1405"/>
      <c r="C880" s="1407"/>
      <c r="D880" s="1405"/>
      <c r="E880" s="1405"/>
      <c r="F880" s="1405"/>
      <c r="G880" s="1405"/>
      <c r="H880" s="1405"/>
      <c r="I880" s="1405"/>
      <c r="J880" s="1405"/>
      <c r="K880" s="1405"/>
      <c r="L880" s="1405"/>
      <c r="M880" s="1405"/>
      <c r="S880" s="1731"/>
    </row>
    <row r="881" spans="1:19" x14ac:dyDescent="0.2">
      <c r="A881" s="1402"/>
      <c r="B881" s="1405"/>
      <c r="C881" s="1407"/>
      <c r="D881" s="1405"/>
      <c r="E881" s="1405"/>
      <c r="F881" s="1405"/>
      <c r="G881" s="1405"/>
      <c r="H881" s="1405"/>
      <c r="I881" s="1405"/>
      <c r="J881" s="1405"/>
      <c r="K881" s="1405"/>
      <c r="L881" s="1405"/>
      <c r="M881" s="1405"/>
      <c r="S881" s="1731"/>
    </row>
    <row r="882" spans="1:19" x14ac:dyDescent="0.2">
      <c r="A882" s="1402"/>
      <c r="B882" s="1405"/>
      <c r="C882" s="1407"/>
      <c r="D882" s="1405"/>
      <c r="E882" s="1405"/>
      <c r="F882" s="1405"/>
      <c r="G882" s="1405"/>
      <c r="H882" s="1405"/>
      <c r="I882" s="1405"/>
      <c r="J882" s="1405"/>
      <c r="K882" s="1405"/>
      <c r="L882" s="1405"/>
      <c r="M882" s="1405"/>
      <c r="S882" s="1731"/>
    </row>
    <row r="883" spans="1:19" x14ac:dyDescent="0.2">
      <c r="A883" s="1402"/>
      <c r="B883" s="1405"/>
      <c r="C883" s="1407"/>
      <c r="D883" s="1405"/>
      <c r="E883" s="1405"/>
      <c r="F883" s="1405"/>
      <c r="G883" s="1405"/>
      <c r="H883" s="1405"/>
      <c r="I883" s="1405"/>
      <c r="J883" s="1405"/>
      <c r="K883" s="1405"/>
      <c r="L883" s="1405"/>
      <c r="M883" s="1405"/>
      <c r="S883" s="1731"/>
    </row>
    <row r="884" spans="1:19" x14ac:dyDescent="0.2">
      <c r="A884" s="1402"/>
      <c r="B884" s="1405"/>
      <c r="C884" s="1407"/>
      <c r="D884" s="1405"/>
      <c r="E884" s="1405"/>
      <c r="F884" s="1405"/>
      <c r="G884" s="1405"/>
      <c r="H884" s="1405"/>
      <c r="I884" s="1405"/>
      <c r="J884" s="1405"/>
      <c r="K884" s="1405"/>
      <c r="L884" s="1405"/>
      <c r="M884" s="1405"/>
      <c r="S884" s="1731"/>
    </row>
    <row r="885" spans="1:19" x14ac:dyDescent="0.2">
      <c r="A885" s="1402"/>
      <c r="B885" s="1405"/>
      <c r="C885" s="1407"/>
      <c r="D885" s="1405"/>
      <c r="E885" s="1405"/>
      <c r="F885" s="1405"/>
      <c r="G885" s="1405"/>
      <c r="H885" s="1405"/>
      <c r="I885" s="1405"/>
      <c r="J885" s="1405"/>
      <c r="K885" s="1405"/>
      <c r="L885" s="1405"/>
      <c r="M885" s="1405"/>
      <c r="S885" s="1731"/>
    </row>
    <row r="886" spans="1:19" x14ac:dyDescent="0.2">
      <c r="A886" s="1402"/>
      <c r="B886" s="1405"/>
      <c r="C886" s="1407"/>
      <c r="D886" s="1405"/>
      <c r="E886" s="1405"/>
      <c r="F886" s="1405"/>
      <c r="G886" s="1405"/>
      <c r="H886" s="1405"/>
      <c r="I886" s="1405"/>
      <c r="J886" s="1405"/>
      <c r="K886" s="1405"/>
      <c r="L886" s="1405"/>
      <c r="M886" s="1405"/>
      <c r="S886" s="1731"/>
    </row>
    <row r="887" spans="1:19" x14ac:dyDescent="0.2">
      <c r="A887" s="1402"/>
      <c r="B887" s="1405"/>
      <c r="C887" s="1407"/>
      <c r="D887" s="1405"/>
      <c r="E887" s="1405"/>
      <c r="F887" s="1405"/>
      <c r="G887" s="1405"/>
      <c r="H887" s="1405"/>
      <c r="I887" s="1405"/>
      <c r="J887" s="1405"/>
      <c r="K887" s="1405"/>
      <c r="L887" s="1405"/>
      <c r="M887" s="1405"/>
      <c r="S887" s="1731"/>
    </row>
    <row r="888" spans="1:19" x14ac:dyDescent="0.2">
      <c r="A888" s="1402"/>
      <c r="B888" s="1405"/>
      <c r="C888" s="1407"/>
      <c r="D888" s="1405"/>
      <c r="E888" s="1405"/>
      <c r="F888" s="1405"/>
      <c r="G888" s="1405"/>
      <c r="H888" s="1405"/>
      <c r="I888" s="1405"/>
      <c r="J888" s="1405"/>
      <c r="K888" s="1405"/>
      <c r="L888" s="1405"/>
      <c r="M888" s="1405"/>
      <c r="S888" s="1731"/>
    </row>
    <row r="889" spans="1:19" x14ac:dyDescent="0.2">
      <c r="A889" s="1402"/>
      <c r="B889" s="1405"/>
      <c r="C889" s="1407"/>
      <c r="D889" s="1405"/>
      <c r="E889" s="1405"/>
      <c r="F889" s="1405"/>
      <c r="G889" s="1405"/>
      <c r="H889" s="1405"/>
      <c r="I889" s="1405"/>
      <c r="J889" s="1405"/>
      <c r="K889" s="1405"/>
      <c r="L889" s="1405"/>
      <c r="M889" s="1405"/>
      <c r="S889" s="1731"/>
    </row>
    <row r="890" spans="1:19" x14ac:dyDescent="0.2">
      <c r="A890" s="1402"/>
      <c r="B890" s="1405"/>
      <c r="C890" s="1407"/>
      <c r="D890" s="1405"/>
      <c r="E890" s="1405"/>
      <c r="F890" s="1405"/>
      <c r="G890" s="1405"/>
      <c r="H890" s="1405"/>
      <c r="I890" s="1405"/>
      <c r="J890" s="1405"/>
      <c r="K890" s="1405"/>
      <c r="L890" s="1405"/>
      <c r="M890" s="1405"/>
      <c r="S890" s="1731"/>
    </row>
    <row r="891" spans="1:19" x14ac:dyDescent="0.2">
      <c r="A891" s="1402"/>
      <c r="B891" s="1405"/>
      <c r="C891" s="1407"/>
      <c r="D891" s="1405"/>
      <c r="E891" s="1405"/>
      <c r="F891" s="1405"/>
      <c r="G891" s="1405"/>
      <c r="H891" s="1405"/>
      <c r="I891" s="1405"/>
      <c r="J891" s="1405"/>
      <c r="K891" s="1405"/>
      <c r="L891" s="1405"/>
      <c r="M891" s="1405"/>
      <c r="S891" s="1731"/>
    </row>
    <row r="892" spans="1:19" x14ac:dyDescent="0.2">
      <c r="A892" s="1402"/>
      <c r="B892" s="1405"/>
      <c r="C892" s="1407"/>
      <c r="D892" s="1405"/>
      <c r="E892" s="1405"/>
      <c r="F892" s="1405"/>
      <c r="G892" s="1405"/>
      <c r="H892" s="1405"/>
      <c r="I892" s="1405"/>
      <c r="J892" s="1405"/>
      <c r="K892" s="1405"/>
      <c r="L892" s="1405"/>
      <c r="M892" s="1405"/>
      <c r="S892" s="1731"/>
    </row>
    <row r="893" spans="1:19" x14ac:dyDescent="0.2">
      <c r="A893" s="1402"/>
      <c r="B893" s="1405"/>
      <c r="C893" s="1407"/>
      <c r="D893" s="1405"/>
      <c r="E893" s="1405"/>
      <c r="F893" s="1405"/>
      <c r="G893" s="1405"/>
      <c r="H893" s="1405"/>
      <c r="I893" s="1405"/>
      <c r="J893" s="1405"/>
      <c r="K893" s="1405"/>
      <c r="L893" s="1405"/>
      <c r="M893" s="1405"/>
      <c r="S893" s="1731"/>
    </row>
    <row r="894" spans="1:19" x14ac:dyDescent="0.2">
      <c r="A894" s="1402"/>
      <c r="B894" s="1405"/>
      <c r="C894" s="1407"/>
      <c r="D894" s="1405"/>
      <c r="E894" s="1405"/>
      <c r="F894" s="1405"/>
      <c r="G894" s="1405"/>
      <c r="H894" s="1405"/>
      <c r="I894" s="1405"/>
      <c r="J894" s="1405"/>
      <c r="K894" s="1405"/>
      <c r="L894" s="1405"/>
      <c r="M894" s="1405"/>
      <c r="S894" s="1731"/>
    </row>
    <row r="895" spans="1:19" x14ac:dyDescent="0.2">
      <c r="A895" s="1402"/>
      <c r="B895" s="1405"/>
      <c r="C895" s="1407"/>
      <c r="D895" s="1405"/>
      <c r="E895" s="1405"/>
      <c r="F895" s="1405"/>
      <c r="G895" s="1405"/>
      <c r="H895" s="1405"/>
      <c r="I895" s="1405"/>
      <c r="J895" s="1405"/>
      <c r="K895" s="1405"/>
      <c r="L895" s="1405"/>
      <c r="M895" s="1405"/>
      <c r="S895" s="1731"/>
    </row>
    <row r="896" spans="1:19" x14ac:dyDescent="0.2">
      <c r="A896" s="1402"/>
      <c r="B896" s="1405"/>
      <c r="C896" s="1407"/>
      <c r="D896" s="1405"/>
      <c r="E896" s="1405"/>
      <c r="F896" s="1405"/>
      <c r="G896" s="1405"/>
      <c r="H896" s="1405"/>
      <c r="I896" s="1405"/>
      <c r="J896" s="1405"/>
      <c r="K896" s="1405"/>
      <c r="L896" s="1405"/>
      <c r="M896" s="1405"/>
      <c r="S896" s="1731"/>
    </row>
    <row r="897" spans="1:19" x14ac:dyDescent="0.2">
      <c r="A897" s="1402"/>
      <c r="B897" s="1405"/>
      <c r="C897" s="1407"/>
      <c r="D897" s="1405"/>
      <c r="E897" s="1405"/>
      <c r="F897" s="1405"/>
      <c r="G897" s="1405"/>
      <c r="H897" s="1405"/>
      <c r="I897" s="1405"/>
      <c r="J897" s="1405"/>
      <c r="K897" s="1405"/>
      <c r="L897" s="1405"/>
      <c r="M897" s="1405"/>
      <c r="S897" s="1731"/>
    </row>
    <row r="898" spans="1:19" x14ac:dyDescent="0.2">
      <c r="A898" s="1402"/>
      <c r="B898" s="1405"/>
      <c r="C898" s="1407"/>
      <c r="D898" s="1405"/>
      <c r="E898" s="1405"/>
      <c r="F898" s="1405"/>
      <c r="G898" s="1405"/>
      <c r="H898" s="1405"/>
      <c r="I898" s="1405"/>
      <c r="J898" s="1405"/>
      <c r="K898" s="1405"/>
      <c r="L898" s="1405"/>
      <c r="M898" s="1405"/>
      <c r="S898" s="1731"/>
    </row>
    <row r="899" spans="1:19" x14ac:dyDescent="0.2">
      <c r="A899" s="1402"/>
      <c r="B899" s="1405"/>
      <c r="C899" s="1407"/>
      <c r="D899" s="1405"/>
      <c r="E899" s="1405"/>
      <c r="F899" s="1405"/>
      <c r="G899" s="1405"/>
      <c r="H899" s="1405"/>
      <c r="I899" s="1405"/>
      <c r="J899" s="1405"/>
      <c r="K899" s="1405"/>
      <c r="L899" s="1405"/>
      <c r="M899" s="1405"/>
      <c r="S899" s="1731"/>
    </row>
    <row r="900" spans="1:19" x14ac:dyDescent="0.2">
      <c r="A900" s="1402"/>
      <c r="B900" s="1405"/>
      <c r="C900" s="1407"/>
      <c r="D900" s="1405"/>
      <c r="E900" s="1405"/>
      <c r="F900" s="1405"/>
      <c r="G900" s="1405"/>
      <c r="H900" s="1405"/>
      <c r="I900" s="1405"/>
      <c r="J900" s="1405"/>
      <c r="K900" s="1405"/>
      <c r="L900" s="1405"/>
      <c r="M900" s="1405"/>
      <c r="S900" s="1731"/>
    </row>
    <row r="901" spans="1:19" x14ac:dyDescent="0.2">
      <c r="A901" s="1402"/>
      <c r="B901" s="1405"/>
      <c r="C901" s="1407"/>
      <c r="D901" s="1405"/>
      <c r="E901" s="1405"/>
      <c r="F901" s="1405"/>
      <c r="G901" s="1405"/>
      <c r="H901" s="1405"/>
      <c r="I901" s="1405"/>
      <c r="J901" s="1405"/>
      <c r="K901" s="1405"/>
      <c r="L901" s="1405"/>
      <c r="M901" s="1405"/>
      <c r="S901" s="1731"/>
    </row>
    <row r="902" spans="1:19" x14ac:dyDescent="0.2">
      <c r="A902" s="1402"/>
      <c r="B902" s="1405"/>
      <c r="C902" s="1407"/>
      <c r="D902" s="1405"/>
      <c r="E902" s="1405"/>
      <c r="F902" s="1405"/>
      <c r="G902" s="1405"/>
      <c r="H902" s="1405"/>
      <c r="I902" s="1405"/>
      <c r="J902" s="1405"/>
      <c r="K902" s="1405"/>
      <c r="L902" s="1405"/>
      <c r="M902" s="1405"/>
      <c r="S902" s="1731"/>
    </row>
    <row r="903" spans="1:19" x14ac:dyDescent="0.2">
      <c r="A903" s="1402"/>
      <c r="B903" s="1405"/>
      <c r="C903" s="1407"/>
      <c r="D903" s="1405"/>
      <c r="E903" s="1405"/>
      <c r="F903" s="1405"/>
      <c r="G903" s="1405"/>
      <c r="H903" s="1405"/>
      <c r="I903" s="1405"/>
      <c r="J903" s="1405"/>
      <c r="K903" s="1405"/>
      <c r="L903" s="1405"/>
      <c r="M903" s="1405"/>
      <c r="S903" s="1731"/>
    </row>
    <row r="904" spans="1:19" x14ac:dyDescent="0.2">
      <c r="A904" s="1402"/>
      <c r="B904" s="1405"/>
      <c r="C904" s="1407"/>
      <c r="D904" s="1405"/>
      <c r="E904" s="1405"/>
      <c r="F904" s="1405"/>
      <c r="G904" s="1405"/>
      <c r="H904" s="1405"/>
      <c r="I904" s="1405"/>
      <c r="J904" s="1405"/>
      <c r="K904" s="1405"/>
      <c r="L904" s="1405"/>
      <c r="M904" s="1405"/>
      <c r="S904" s="1731"/>
    </row>
    <row r="905" spans="1:19" x14ac:dyDescent="0.2">
      <c r="A905" s="1402"/>
      <c r="B905" s="1405"/>
      <c r="C905" s="1407"/>
      <c r="D905" s="1405"/>
      <c r="E905" s="1405"/>
      <c r="F905" s="1405"/>
      <c r="G905" s="1405"/>
      <c r="H905" s="1405"/>
      <c r="I905" s="1405"/>
      <c r="J905" s="1405"/>
      <c r="K905" s="1405"/>
      <c r="L905" s="1405"/>
      <c r="M905" s="1405"/>
      <c r="S905" s="1731"/>
    </row>
    <row r="906" spans="1:19" x14ac:dyDescent="0.2">
      <c r="A906" s="1402"/>
      <c r="B906" s="1405"/>
      <c r="C906" s="1407"/>
      <c r="D906" s="1405"/>
      <c r="E906" s="1405"/>
      <c r="F906" s="1405"/>
      <c r="G906" s="1405"/>
      <c r="H906" s="1405"/>
      <c r="I906" s="1405"/>
      <c r="J906" s="1405"/>
      <c r="K906" s="1405"/>
      <c r="L906" s="1405"/>
      <c r="M906" s="1405"/>
      <c r="S906" s="1731"/>
    </row>
    <row r="907" spans="1:19" x14ac:dyDescent="0.2">
      <c r="A907" s="1402"/>
      <c r="B907" s="1405"/>
      <c r="C907" s="1407"/>
      <c r="D907" s="1405"/>
      <c r="E907" s="1405"/>
      <c r="F907" s="1405"/>
      <c r="G907" s="1405"/>
      <c r="H907" s="1405"/>
      <c r="I907" s="1405"/>
      <c r="J907" s="1405"/>
      <c r="K907" s="1405"/>
      <c r="L907" s="1405"/>
      <c r="M907" s="1405"/>
      <c r="S907" s="1731"/>
    </row>
    <row r="908" spans="1:19" x14ac:dyDescent="0.2">
      <c r="A908" s="1402"/>
      <c r="B908" s="1405"/>
      <c r="C908" s="1407"/>
      <c r="D908" s="1405"/>
      <c r="E908" s="1405"/>
      <c r="F908" s="1405"/>
      <c r="G908" s="1405"/>
      <c r="H908" s="1405"/>
      <c r="I908" s="1405"/>
      <c r="J908" s="1405"/>
      <c r="K908" s="1405"/>
      <c r="L908" s="1405"/>
      <c r="M908" s="1405"/>
      <c r="S908" s="1731"/>
    </row>
    <row r="909" spans="1:19" x14ac:dyDescent="0.2">
      <c r="A909" s="1402"/>
      <c r="B909" s="1405"/>
      <c r="C909" s="1407"/>
      <c r="D909" s="1405"/>
      <c r="E909" s="1405"/>
      <c r="F909" s="1405"/>
      <c r="G909" s="1405"/>
      <c r="H909" s="1405"/>
      <c r="I909" s="1405"/>
      <c r="J909" s="1405"/>
      <c r="K909" s="1405"/>
      <c r="L909" s="1405"/>
      <c r="M909" s="1405"/>
      <c r="S909" s="1731"/>
    </row>
    <row r="910" spans="1:19" x14ac:dyDescent="0.2">
      <c r="A910" s="1402"/>
      <c r="B910" s="1405"/>
      <c r="C910" s="1407"/>
      <c r="D910" s="1405"/>
      <c r="E910" s="1405"/>
      <c r="F910" s="1405"/>
      <c r="G910" s="1405"/>
      <c r="H910" s="1405"/>
      <c r="I910" s="1405"/>
      <c r="J910" s="1405"/>
      <c r="K910" s="1405"/>
      <c r="L910" s="1405"/>
      <c r="M910" s="1405"/>
      <c r="S910" s="1731"/>
    </row>
    <row r="911" spans="1:19" x14ac:dyDescent="0.2">
      <c r="A911" s="1402"/>
      <c r="B911" s="1405"/>
      <c r="C911" s="1407"/>
      <c r="D911" s="1405"/>
      <c r="E911" s="1405"/>
      <c r="F911" s="1405"/>
      <c r="G911" s="1405"/>
      <c r="H911" s="1405"/>
      <c r="I911" s="1405"/>
      <c r="J911" s="1405"/>
      <c r="K911" s="1405"/>
      <c r="L911" s="1405"/>
      <c r="M911" s="1405"/>
      <c r="S911" s="1731"/>
    </row>
    <row r="912" spans="1:19" x14ac:dyDescent="0.2">
      <c r="A912" s="1402"/>
      <c r="B912" s="1405"/>
      <c r="C912" s="1407"/>
      <c r="D912" s="1405"/>
      <c r="E912" s="1405"/>
      <c r="F912" s="1405"/>
      <c r="G912" s="1405"/>
      <c r="H912" s="1405"/>
      <c r="I912" s="1405"/>
      <c r="J912" s="1405"/>
      <c r="K912" s="1405"/>
      <c r="L912" s="1405"/>
      <c r="M912" s="1405"/>
      <c r="S912" s="1731"/>
    </row>
    <row r="913" spans="1:19" x14ac:dyDescent="0.2">
      <c r="A913" s="1402"/>
      <c r="B913" s="1405"/>
      <c r="C913" s="1407"/>
      <c r="D913" s="1405"/>
      <c r="E913" s="1405"/>
      <c r="F913" s="1405"/>
      <c r="G913" s="1405"/>
      <c r="H913" s="1405"/>
      <c r="I913" s="1405"/>
      <c r="J913" s="1405"/>
      <c r="K913" s="1405"/>
      <c r="L913" s="1405"/>
      <c r="M913" s="1405"/>
      <c r="S913" s="1731"/>
    </row>
    <row r="914" spans="1:19" x14ac:dyDescent="0.2">
      <c r="A914" s="1402"/>
      <c r="B914" s="1405"/>
      <c r="C914" s="1407"/>
      <c r="D914" s="1405"/>
      <c r="E914" s="1405"/>
      <c r="F914" s="1405"/>
      <c r="G914" s="1405"/>
      <c r="H914" s="1405"/>
      <c r="I914" s="1405"/>
      <c r="J914" s="1405"/>
      <c r="K914" s="1405"/>
      <c r="L914" s="1405"/>
      <c r="M914" s="1405"/>
      <c r="S914" s="1731"/>
    </row>
    <row r="915" spans="1:19" x14ac:dyDescent="0.2">
      <c r="A915" s="1402"/>
      <c r="B915" s="1405"/>
      <c r="C915" s="1407"/>
      <c r="D915" s="1405"/>
      <c r="E915" s="1405"/>
      <c r="F915" s="1405"/>
      <c r="G915" s="1405"/>
      <c r="H915" s="1405"/>
      <c r="I915" s="1405"/>
      <c r="J915" s="1405"/>
      <c r="K915" s="1405"/>
      <c r="L915" s="1405"/>
      <c r="M915" s="1405"/>
      <c r="S915" s="1731"/>
    </row>
    <row r="916" spans="1:19" x14ac:dyDescent="0.2">
      <c r="A916" s="1402"/>
      <c r="B916" s="1405"/>
      <c r="C916" s="1407"/>
      <c r="D916" s="1405"/>
      <c r="E916" s="1405"/>
      <c r="F916" s="1405"/>
      <c r="G916" s="1405"/>
      <c r="H916" s="1405"/>
      <c r="I916" s="1405"/>
      <c r="J916" s="1405"/>
      <c r="K916" s="1405"/>
      <c r="L916" s="1405"/>
      <c r="M916" s="1405"/>
      <c r="S916" s="1731"/>
    </row>
    <row r="917" spans="1:19" x14ac:dyDescent="0.2">
      <c r="A917" s="1402"/>
      <c r="B917" s="1405"/>
      <c r="C917" s="1407"/>
      <c r="D917" s="1405"/>
      <c r="E917" s="1405"/>
      <c r="F917" s="1405"/>
      <c r="G917" s="1405"/>
      <c r="H917" s="1405"/>
      <c r="I917" s="1405"/>
      <c r="J917" s="1405"/>
      <c r="K917" s="1405"/>
      <c r="L917" s="1405"/>
      <c r="M917" s="1405"/>
      <c r="S917" s="1731"/>
    </row>
    <row r="918" spans="1:19" x14ac:dyDescent="0.2">
      <c r="A918" s="1402"/>
      <c r="B918" s="1405"/>
      <c r="C918" s="1407"/>
      <c r="D918" s="1405"/>
      <c r="E918" s="1405"/>
      <c r="F918" s="1405"/>
      <c r="G918" s="1405"/>
      <c r="H918" s="1405"/>
      <c r="I918" s="1405"/>
      <c r="J918" s="1405"/>
      <c r="K918" s="1405"/>
      <c r="L918" s="1405"/>
      <c r="M918" s="1405"/>
      <c r="S918" s="1731"/>
    </row>
    <row r="919" spans="1:19" x14ac:dyDescent="0.2">
      <c r="A919" s="1402"/>
      <c r="B919" s="1405"/>
      <c r="C919" s="1407"/>
      <c r="D919" s="1405"/>
      <c r="E919" s="1405"/>
      <c r="F919" s="1405"/>
      <c r="G919" s="1405"/>
      <c r="H919" s="1405"/>
      <c r="I919" s="1405"/>
      <c r="J919" s="1405"/>
      <c r="K919" s="1405"/>
      <c r="L919" s="1405"/>
      <c r="M919" s="1405"/>
      <c r="S919" s="1731"/>
    </row>
    <row r="920" spans="1:19" x14ac:dyDescent="0.2">
      <c r="A920" s="1402"/>
      <c r="B920" s="1405"/>
      <c r="C920" s="1407"/>
      <c r="D920" s="1405"/>
      <c r="E920" s="1405"/>
      <c r="F920" s="1405"/>
      <c r="G920" s="1405"/>
      <c r="H920" s="1405"/>
      <c r="I920" s="1405"/>
      <c r="J920" s="1405"/>
      <c r="K920" s="1405"/>
      <c r="L920" s="1405"/>
      <c r="M920" s="1405"/>
      <c r="S920" s="1731"/>
    </row>
    <row r="921" spans="1:19" x14ac:dyDescent="0.2">
      <c r="A921" s="1402"/>
      <c r="B921" s="1405"/>
      <c r="C921" s="1407"/>
      <c r="D921" s="1405"/>
      <c r="E921" s="1405"/>
      <c r="F921" s="1405"/>
      <c r="G921" s="1405"/>
      <c r="H921" s="1405"/>
      <c r="I921" s="1405"/>
      <c r="J921" s="1405"/>
      <c r="K921" s="1405"/>
      <c r="L921" s="1405"/>
      <c r="M921" s="1405"/>
      <c r="S921" s="1731"/>
    </row>
    <row r="922" spans="1:19" x14ac:dyDescent="0.2">
      <c r="A922" s="1402"/>
      <c r="B922" s="1405"/>
      <c r="C922" s="1407"/>
      <c r="D922" s="1405"/>
      <c r="E922" s="1405"/>
      <c r="F922" s="1405"/>
      <c r="G922" s="1405"/>
      <c r="H922" s="1405"/>
      <c r="I922" s="1405"/>
      <c r="J922" s="1405"/>
      <c r="K922" s="1405"/>
      <c r="L922" s="1405"/>
      <c r="M922" s="1405"/>
      <c r="S922" s="1731"/>
    </row>
    <row r="923" spans="1:19" x14ac:dyDescent="0.2">
      <c r="A923" s="1402"/>
      <c r="B923" s="1405"/>
      <c r="C923" s="1407"/>
      <c r="D923" s="1405"/>
      <c r="E923" s="1405"/>
      <c r="F923" s="1405"/>
      <c r="G923" s="1405"/>
      <c r="H923" s="1405"/>
      <c r="I923" s="1405"/>
      <c r="J923" s="1405"/>
      <c r="K923" s="1405"/>
      <c r="L923" s="1405"/>
      <c r="M923" s="1405"/>
      <c r="S923" s="1731"/>
    </row>
    <row r="924" spans="1:19" x14ac:dyDescent="0.2">
      <c r="A924" s="1402"/>
      <c r="B924" s="1405"/>
      <c r="C924" s="1407"/>
      <c r="D924" s="1405"/>
      <c r="E924" s="1405"/>
      <c r="F924" s="1405"/>
      <c r="G924" s="1405"/>
      <c r="H924" s="1405"/>
      <c r="I924" s="1405"/>
      <c r="J924" s="1405"/>
      <c r="K924" s="1405"/>
      <c r="L924" s="1405"/>
      <c r="M924" s="1405"/>
      <c r="S924" s="1731"/>
    </row>
    <row r="925" spans="1:19" x14ac:dyDescent="0.2">
      <c r="A925" s="1402"/>
      <c r="B925" s="1405"/>
      <c r="C925" s="1407"/>
      <c r="D925" s="1405"/>
      <c r="E925" s="1405"/>
      <c r="F925" s="1405"/>
      <c r="G925" s="1405"/>
      <c r="H925" s="1405"/>
      <c r="I925" s="1405"/>
      <c r="J925" s="1405"/>
      <c r="K925" s="1405"/>
      <c r="L925" s="1405"/>
      <c r="M925" s="1405"/>
      <c r="S925" s="1731"/>
    </row>
    <row r="926" spans="1:19" x14ac:dyDescent="0.2">
      <c r="A926" s="1402"/>
      <c r="B926" s="1405"/>
      <c r="C926" s="1407"/>
      <c r="D926" s="1405"/>
      <c r="E926" s="1405"/>
      <c r="F926" s="1405"/>
      <c r="G926" s="1405"/>
      <c r="H926" s="1405"/>
      <c r="I926" s="1405"/>
      <c r="J926" s="1405"/>
      <c r="K926" s="1405"/>
      <c r="L926" s="1405"/>
      <c r="M926" s="1405"/>
      <c r="S926" s="1731"/>
    </row>
    <row r="927" spans="1:19" x14ac:dyDescent="0.2">
      <c r="A927" s="1402"/>
      <c r="B927" s="1405"/>
      <c r="C927" s="1407"/>
      <c r="D927" s="1405"/>
      <c r="E927" s="1405"/>
      <c r="F927" s="1405"/>
      <c r="G927" s="1405"/>
      <c r="H927" s="1405"/>
      <c r="I927" s="1405"/>
      <c r="J927" s="1405"/>
      <c r="K927" s="1405"/>
      <c r="L927" s="1405"/>
      <c r="M927" s="1405"/>
      <c r="S927" s="1731"/>
    </row>
    <row r="928" spans="1:19" x14ac:dyDescent="0.2">
      <c r="A928" s="1402"/>
      <c r="B928" s="1405"/>
      <c r="C928" s="1407"/>
      <c r="D928" s="1405"/>
      <c r="E928" s="1405"/>
      <c r="F928" s="1405"/>
      <c r="G928" s="1405"/>
      <c r="H928" s="1405"/>
      <c r="I928" s="1405"/>
      <c r="J928" s="1405"/>
      <c r="K928" s="1405"/>
      <c r="L928" s="1405"/>
      <c r="M928" s="1405"/>
      <c r="S928" s="1731"/>
    </row>
    <row r="929" spans="1:19" x14ac:dyDescent="0.2">
      <c r="A929" s="1402"/>
      <c r="B929" s="1405"/>
      <c r="C929" s="1407"/>
      <c r="D929" s="1405"/>
      <c r="E929" s="1405"/>
      <c r="F929" s="1405"/>
      <c r="G929" s="1405"/>
      <c r="H929" s="1405"/>
      <c r="I929" s="1405"/>
      <c r="J929" s="1405"/>
      <c r="K929" s="1405"/>
      <c r="L929" s="1405"/>
      <c r="M929" s="1405"/>
      <c r="S929" s="1731"/>
    </row>
    <row r="930" spans="1:19" x14ac:dyDescent="0.2">
      <c r="A930" s="1402"/>
      <c r="B930" s="1405"/>
      <c r="C930" s="1407"/>
      <c r="D930" s="1405"/>
      <c r="E930" s="1405"/>
      <c r="F930" s="1405"/>
      <c r="G930" s="1405"/>
      <c r="H930" s="1405"/>
      <c r="I930" s="1405"/>
      <c r="J930" s="1405"/>
      <c r="K930" s="1405"/>
      <c r="L930" s="1405"/>
      <c r="M930" s="1405"/>
      <c r="S930" s="1731"/>
    </row>
    <row r="931" spans="1:19" x14ac:dyDescent="0.2">
      <c r="A931" s="1402"/>
      <c r="B931" s="1405"/>
      <c r="C931" s="1407"/>
      <c r="D931" s="1405"/>
      <c r="E931" s="1405"/>
      <c r="F931" s="1405"/>
      <c r="G931" s="1405"/>
      <c r="H931" s="1405"/>
      <c r="I931" s="1405"/>
      <c r="J931" s="1405"/>
      <c r="K931" s="1405"/>
      <c r="L931" s="1405"/>
      <c r="M931" s="1405"/>
      <c r="S931" s="1731"/>
    </row>
    <row r="932" spans="1:19" x14ac:dyDescent="0.2">
      <c r="A932" s="1402"/>
      <c r="B932" s="1405"/>
      <c r="C932" s="1407"/>
      <c r="D932" s="1405"/>
      <c r="E932" s="1405"/>
      <c r="F932" s="1405"/>
      <c r="G932" s="1405"/>
      <c r="H932" s="1405"/>
      <c r="I932" s="1405"/>
      <c r="J932" s="1405"/>
      <c r="K932" s="1405"/>
      <c r="L932" s="1405"/>
      <c r="M932" s="1405"/>
      <c r="S932" s="1731"/>
    </row>
    <row r="933" spans="1:19" x14ac:dyDescent="0.2">
      <c r="A933" s="1402"/>
      <c r="B933" s="1405"/>
      <c r="C933" s="1407"/>
      <c r="D933" s="1405"/>
      <c r="E933" s="1405"/>
      <c r="F933" s="1405"/>
      <c r="G933" s="1405"/>
      <c r="H933" s="1405"/>
      <c r="I933" s="1405"/>
      <c r="J933" s="1405"/>
      <c r="K933" s="1405"/>
      <c r="L933" s="1405"/>
      <c r="M933" s="1405"/>
      <c r="S933" s="1731"/>
    </row>
    <row r="934" spans="1:19" x14ac:dyDescent="0.2">
      <c r="A934" s="1402"/>
      <c r="B934" s="1405"/>
      <c r="C934" s="1407"/>
      <c r="D934" s="1405"/>
      <c r="E934" s="1405"/>
      <c r="F934" s="1405"/>
      <c r="G934" s="1405"/>
      <c r="H934" s="1405"/>
      <c r="I934" s="1405"/>
      <c r="J934" s="1405"/>
      <c r="K934" s="1405"/>
      <c r="L934" s="1405"/>
      <c r="M934" s="1405"/>
      <c r="S934" s="1731"/>
    </row>
    <row r="935" spans="1:19" x14ac:dyDescent="0.2">
      <c r="A935" s="1402"/>
      <c r="B935" s="1405"/>
      <c r="C935" s="1407"/>
      <c r="D935" s="1405"/>
      <c r="E935" s="1405"/>
      <c r="F935" s="1405"/>
      <c r="G935" s="1405"/>
      <c r="H935" s="1405"/>
      <c r="I935" s="1405"/>
      <c r="J935" s="1405"/>
      <c r="K935" s="1405"/>
      <c r="L935" s="1405"/>
      <c r="M935" s="1405"/>
      <c r="S935" s="1731"/>
    </row>
    <row r="936" spans="1:19" x14ac:dyDescent="0.2">
      <c r="A936" s="1402"/>
      <c r="B936" s="1405"/>
      <c r="C936" s="1407"/>
      <c r="D936" s="1405"/>
      <c r="E936" s="1405"/>
      <c r="F936" s="1405"/>
      <c r="G936" s="1405"/>
      <c r="H936" s="1405"/>
      <c r="I936" s="1405"/>
      <c r="J936" s="1405"/>
      <c r="K936" s="1405"/>
      <c r="L936" s="1405"/>
      <c r="M936" s="1405"/>
      <c r="S936" s="1731"/>
    </row>
    <row r="937" spans="1:19" x14ac:dyDescent="0.2">
      <c r="A937" s="1402"/>
      <c r="B937" s="1405"/>
      <c r="C937" s="1407"/>
      <c r="D937" s="1405"/>
      <c r="E937" s="1405"/>
      <c r="F937" s="1405"/>
      <c r="G937" s="1405"/>
      <c r="H937" s="1405"/>
      <c r="I937" s="1405"/>
      <c r="J937" s="1405"/>
      <c r="K937" s="1405"/>
      <c r="L937" s="1405"/>
      <c r="M937" s="1405"/>
      <c r="S937" s="1731"/>
    </row>
    <row r="938" spans="1:19" x14ac:dyDescent="0.2">
      <c r="A938" s="1402"/>
      <c r="B938" s="1405"/>
      <c r="C938" s="1407"/>
      <c r="D938" s="1405"/>
      <c r="E938" s="1405"/>
      <c r="F938" s="1405"/>
      <c r="G938" s="1405"/>
      <c r="H938" s="1405"/>
      <c r="I938" s="1405"/>
      <c r="J938" s="1405"/>
      <c r="K938" s="1405"/>
      <c r="L938" s="1405"/>
      <c r="M938" s="1405"/>
      <c r="S938" s="1731"/>
    </row>
    <row r="939" spans="1:19" x14ac:dyDescent="0.2">
      <c r="A939" s="1402"/>
      <c r="B939" s="1405"/>
      <c r="C939" s="1407"/>
      <c r="D939" s="1405"/>
      <c r="E939" s="1405"/>
      <c r="F939" s="1405"/>
      <c r="G939" s="1405"/>
      <c r="H939" s="1405"/>
      <c r="I939" s="1405"/>
      <c r="J939" s="1405"/>
      <c r="K939" s="1405"/>
      <c r="L939" s="1405"/>
      <c r="M939" s="1405"/>
      <c r="S939" s="1731"/>
    </row>
    <row r="940" spans="1:19" x14ac:dyDescent="0.2">
      <c r="A940" s="1402"/>
      <c r="B940" s="1405"/>
      <c r="C940" s="1407"/>
      <c r="D940" s="1405"/>
      <c r="E940" s="1405"/>
      <c r="F940" s="1405"/>
      <c r="G940" s="1405"/>
      <c r="H940" s="1405"/>
      <c r="I940" s="1405"/>
      <c r="J940" s="1405"/>
      <c r="K940" s="1405"/>
      <c r="L940" s="1405"/>
      <c r="M940" s="1405"/>
      <c r="S940" s="1731"/>
    </row>
    <row r="941" spans="1:19" x14ac:dyDescent="0.2">
      <c r="A941" s="1402"/>
      <c r="B941" s="1405"/>
      <c r="C941" s="1407"/>
      <c r="D941" s="1405"/>
      <c r="E941" s="1405"/>
      <c r="F941" s="1405"/>
      <c r="G941" s="1405"/>
      <c r="H941" s="1405"/>
      <c r="I941" s="1405"/>
      <c r="J941" s="1405"/>
      <c r="K941" s="1405"/>
      <c r="L941" s="1405"/>
      <c r="M941" s="1405"/>
      <c r="S941" s="1731"/>
    </row>
    <row r="942" spans="1:19" x14ac:dyDescent="0.2">
      <c r="A942" s="1402"/>
      <c r="B942" s="1405"/>
      <c r="C942" s="1407"/>
      <c r="D942" s="1405"/>
      <c r="E942" s="1405"/>
      <c r="F942" s="1405"/>
      <c r="G942" s="1405"/>
      <c r="H942" s="1405"/>
      <c r="I942" s="1405"/>
      <c r="J942" s="1405"/>
      <c r="K942" s="1405"/>
      <c r="L942" s="1405"/>
      <c r="M942" s="1405"/>
      <c r="S942" s="1731"/>
    </row>
    <row r="943" spans="1:19" x14ac:dyDescent="0.2">
      <c r="A943" s="1402"/>
      <c r="B943" s="1405"/>
      <c r="C943" s="1407"/>
      <c r="D943" s="1405"/>
      <c r="E943" s="1405"/>
      <c r="F943" s="1405"/>
      <c r="G943" s="1405"/>
      <c r="H943" s="1405"/>
      <c r="I943" s="1405"/>
      <c r="J943" s="1405"/>
      <c r="K943" s="1405"/>
      <c r="L943" s="1405"/>
      <c r="M943" s="1405"/>
      <c r="S943" s="1731"/>
    </row>
    <row r="944" spans="1:19" x14ac:dyDescent="0.2">
      <c r="A944" s="1402"/>
      <c r="B944" s="1405"/>
      <c r="C944" s="1407"/>
      <c r="D944" s="1405"/>
      <c r="E944" s="1405"/>
      <c r="F944" s="1405"/>
      <c r="G944" s="1405"/>
      <c r="H944" s="1405"/>
      <c r="I944" s="1405"/>
      <c r="J944" s="1405"/>
      <c r="K944" s="1405"/>
      <c r="L944" s="1405"/>
      <c r="M944" s="1405"/>
      <c r="S944" s="1731"/>
    </row>
    <row r="945" spans="1:19" x14ac:dyDescent="0.2">
      <c r="A945" s="1402"/>
      <c r="B945" s="1405"/>
      <c r="C945" s="1407"/>
      <c r="D945" s="1405"/>
      <c r="E945" s="1405"/>
      <c r="F945" s="1405"/>
      <c r="G945" s="1405"/>
      <c r="H945" s="1405"/>
      <c r="I945" s="1405"/>
      <c r="J945" s="1405"/>
      <c r="K945" s="1405"/>
      <c r="L945" s="1405"/>
      <c r="M945" s="1405"/>
      <c r="S945" s="1731"/>
    </row>
    <row r="946" spans="1:19" x14ac:dyDescent="0.2">
      <c r="A946" s="1402"/>
      <c r="B946" s="1405"/>
      <c r="C946" s="1407"/>
      <c r="D946" s="1405"/>
      <c r="E946" s="1405"/>
      <c r="F946" s="1405"/>
      <c r="G946" s="1405"/>
      <c r="H946" s="1405"/>
      <c r="I946" s="1405"/>
      <c r="J946" s="1405"/>
      <c r="K946" s="1405"/>
      <c r="L946" s="1405"/>
      <c r="M946" s="1405"/>
      <c r="S946" s="1731"/>
    </row>
    <row r="947" spans="1:19" x14ac:dyDescent="0.2">
      <c r="A947" s="1402"/>
      <c r="B947" s="1405"/>
      <c r="C947" s="1407"/>
      <c r="D947" s="1405"/>
      <c r="E947" s="1405"/>
      <c r="F947" s="1405"/>
      <c r="G947" s="1405"/>
      <c r="H947" s="1405"/>
      <c r="I947" s="1405"/>
      <c r="J947" s="1405"/>
      <c r="K947" s="1405"/>
      <c r="L947" s="1405"/>
      <c r="M947" s="1405"/>
      <c r="S947" s="1731"/>
    </row>
    <row r="948" spans="1:19" x14ac:dyDescent="0.2">
      <c r="A948" s="1402"/>
      <c r="B948" s="1405"/>
      <c r="C948" s="1407"/>
      <c r="D948" s="1405"/>
      <c r="E948" s="1405"/>
      <c r="F948" s="1405"/>
      <c r="G948" s="1405"/>
      <c r="H948" s="1405"/>
      <c r="I948" s="1405"/>
      <c r="J948" s="1405"/>
      <c r="K948" s="1405"/>
      <c r="L948" s="1405"/>
      <c r="M948" s="1405"/>
      <c r="S948" s="1731"/>
    </row>
    <row r="949" spans="1:19" x14ac:dyDescent="0.2">
      <c r="A949" s="1402"/>
      <c r="B949" s="1405"/>
      <c r="C949" s="1407"/>
      <c r="D949" s="1405"/>
      <c r="E949" s="1405"/>
      <c r="F949" s="1405"/>
      <c r="G949" s="1405"/>
      <c r="H949" s="1405"/>
      <c r="I949" s="1405"/>
      <c r="J949" s="1405"/>
      <c r="K949" s="1405"/>
      <c r="L949" s="1405"/>
      <c r="M949" s="1405"/>
      <c r="S949" s="1731"/>
    </row>
    <row r="950" spans="1:19" x14ac:dyDescent="0.2">
      <c r="A950" s="1402"/>
      <c r="B950" s="1405"/>
      <c r="C950" s="1407"/>
      <c r="D950" s="1405"/>
      <c r="E950" s="1405"/>
      <c r="F950" s="1405"/>
      <c r="G950" s="1405"/>
      <c r="H950" s="1405"/>
      <c r="I950" s="1405"/>
      <c r="J950" s="1405"/>
      <c r="K950" s="1405"/>
      <c r="L950" s="1405"/>
      <c r="M950" s="1405"/>
      <c r="S950" s="1731"/>
    </row>
    <row r="951" spans="1:19" x14ac:dyDescent="0.2">
      <c r="A951" s="1402"/>
      <c r="B951" s="1405"/>
      <c r="C951" s="1407"/>
      <c r="D951" s="1405"/>
      <c r="E951" s="1405"/>
      <c r="F951" s="1405"/>
      <c r="G951" s="1405"/>
      <c r="H951" s="1405"/>
      <c r="I951" s="1405"/>
      <c r="J951" s="1405"/>
      <c r="K951" s="1405"/>
      <c r="L951" s="1405"/>
      <c r="M951" s="1405"/>
      <c r="S951" s="1731"/>
    </row>
    <row r="952" spans="1:19" x14ac:dyDescent="0.2">
      <c r="A952" s="1402"/>
      <c r="B952" s="1405"/>
      <c r="C952" s="1407"/>
      <c r="D952" s="1405"/>
      <c r="E952" s="1405"/>
      <c r="F952" s="1405"/>
      <c r="G952" s="1405"/>
      <c r="H952" s="1405"/>
      <c r="I952" s="1405"/>
      <c r="J952" s="1405"/>
      <c r="K952" s="1405"/>
      <c r="L952" s="1405"/>
      <c r="M952" s="1405"/>
      <c r="S952" s="1731"/>
    </row>
    <row r="953" spans="1:19" x14ac:dyDescent="0.2">
      <c r="A953" s="1402"/>
      <c r="B953" s="1405"/>
      <c r="C953" s="1407"/>
      <c r="D953" s="1405"/>
      <c r="E953" s="1405"/>
      <c r="F953" s="1405"/>
      <c r="G953" s="1405"/>
      <c r="H953" s="1405"/>
      <c r="I953" s="1405"/>
      <c r="J953" s="1405"/>
      <c r="K953" s="1405"/>
      <c r="L953" s="1405"/>
      <c r="M953" s="1405"/>
      <c r="S953" s="1731"/>
    </row>
    <row r="954" spans="1:19" x14ac:dyDescent="0.2">
      <c r="A954" s="1402"/>
      <c r="B954" s="1405"/>
      <c r="C954" s="1407"/>
      <c r="D954" s="1405"/>
      <c r="E954" s="1405"/>
      <c r="F954" s="1405"/>
      <c r="G954" s="1405"/>
      <c r="H954" s="1405"/>
      <c r="I954" s="1405"/>
      <c r="J954" s="1405"/>
      <c r="K954" s="1405"/>
      <c r="L954" s="1405"/>
      <c r="M954" s="1405"/>
      <c r="S954" s="1731"/>
    </row>
    <row r="955" spans="1:19" x14ac:dyDescent="0.2">
      <c r="A955" s="1402"/>
      <c r="B955" s="1405"/>
      <c r="C955" s="1407"/>
      <c r="D955" s="1405"/>
      <c r="E955" s="1405"/>
      <c r="F955" s="1405"/>
      <c r="G955" s="1405"/>
      <c r="H955" s="1405"/>
      <c r="I955" s="1405"/>
      <c r="J955" s="1405"/>
      <c r="K955" s="1405"/>
      <c r="L955" s="1405"/>
      <c r="M955" s="1405"/>
      <c r="S955" s="1731"/>
    </row>
    <row r="956" spans="1:19" x14ac:dyDescent="0.2">
      <c r="A956" s="1402"/>
      <c r="B956" s="1405"/>
      <c r="C956" s="1407"/>
      <c r="D956" s="1405"/>
      <c r="E956" s="1405"/>
      <c r="F956" s="1405"/>
      <c r="G956" s="1405"/>
      <c r="H956" s="1405"/>
      <c r="I956" s="1405"/>
      <c r="J956" s="1405"/>
      <c r="K956" s="1405"/>
      <c r="L956" s="1405"/>
      <c r="M956" s="1405"/>
      <c r="S956" s="1731"/>
    </row>
    <row r="957" spans="1:19" x14ac:dyDescent="0.2">
      <c r="A957" s="1402"/>
      <c r="B957" s="1405"/>
      <c r="C957" s="1407"/>
      <c r="D957" s="1405"/>
      <c r="E957" s="1405"/>
      <c r="F957" s="1405"/>
      <c r="G957" s="1405"/>
      <c r="H957" s="1405"/>
      <c r="I957" s="1405"/>
      <c r="J957" s="1405"/>
      <c r="K957" s="1405"/>
      <c r="L957" s="1405"/>
      <c r="M957" s="1405"/>
      <c r="S957" s="1731"/>
    </row>
    <row r="958" spans="1:19" x14ac:dyDescent="0.2">
      <c r="A958" s="1402"/>
      <c r="B958" s="1405"/>
      <c r="C958" s="1407"/>
      <c r="D958" s="1405"/>
      <c r="E958" s="1405"/>
      <c r="F958" s="1405"/>
      <c r="G958" s="1405"/>
      <c r="H958" s="1405"/>
      <c r="I958" s="1405"/>
      <c r="J958" s="1405"/>
      <c r="K958" s="1405"/>
      <c r="L958" s="1405"/>
      <c r="M958" s="1405"/>
      <c r="S958" s="1731"/>
    </row>
    <row r="959" spans="1:19" x14ac:dyDescent="0.2">
      <c r="A959" s="1402"/>
      <c r="B959" s="1405"/>
      <c r="C959" s="1407"/>
      <c r="D959" s="1405"/>
      <c r="E959" s="1405"/>
      <c r="F959" s="1405"/>
      <c r="G959" s="1405"/>
      <c r="H959" s="1405"/>
      <c r="I959" s="1405"/>
      <c r="J959" s="1405"/>
      <c r="K959" s="1405"/>
      <c r="L959" s="1405"/>
      <c r="M959" s="1405"/>
      <c r="S959" s="1731"/>
    </row>
    <row r="960" spans="1:19" x14ac:dyDescent="0.2">
      <c r="A960" s="1402"/>
      <c r="B960" s="1405"/>
      <c r="C960" s="1407"/>
      <c r="D960" s="1405"/>
      <c r="E960" s="1405"/>
      <c r="F960" s="1405"/>
      <c r="G960" s="1405"/>
      <c r="H960" s="1405"/>
      <c r="I960" s="1405"/>
      <c r="J960" s="1405"/>
      <c r="K960" s="1405"/>
      <c r="L960" s="1405"/>
      <c r="M960" s="1405"/>
      <c r="S960" s="1731"/>
    </row>
    <row r="961" spans="1:19" x14ac:dyDescent="0.2">
      <c r="A961" s="1402"/>
      <c r="B961" s="1405"/>
      <c r="C961" s="1407"/>
      <c r="D961" s="1405"/>
      <c r="E961" s="1405"/>
      <c r="F961" s="1405"/>
      <c r="G961" s="1405"/>
      <c r="H961" s="1405"/>
      <c r="I961" s="1405"/>
      <c r="J961" s="1405"/>
      <c r="K961" s="1405"/>
      <c r="L961" s="1405"/>
      <c r="M961" s="1405"/>
      <c r="S961" s="1731"/>
    </row>
    <row r="962" spans="1:19" x14ac:dyDescent="0.2">
      <c r="A962" s="1402"/>
      <c r="B962" s="1405"/>
      <c r="C962" s="1407"/>
      <c r="D962" s="1405"/>
      <c r="E962" s="1405"/>
      <c r="F962" s="1405"/>
      <c r="G962" s="1405"/>
      <c r="H962" s="1405"/>
      <c r="I962" s="1405"/>
      <c r="J962" s="1405"/>
      <c r="K962" s="1405"/>
      <c r="L962" s="1405"/>
      <c r="M962" s="1405"/>
      <c r="S962" s="1731"/>
    </row>
    <row r="963" spans="1:19" x14ac:dyDescent="0.2">
      <c r="A963" s="1402"/>
      <c r="B963" s="1405"/>
      <c r="C963" s="1407"/>
      <c r="D963" s="1405"/>
      <c r="E963" s="1405"/>
      <c r="F963" s="1405"/>
      <c r="G963" s="1405"/>
      <c r="H963" s="1405"/>
      <c r="I963" s="1405"/>
      <c r="J963" s="1405"/>
      <c r="K963" s="1405"/>
      <c r="L963" s="1405"/>
      <c r="M963" s="1405"/>
      <c r="S963" s="1731"/>
    </row>
    <row r="964" spans="1:19" x14ac:dyDescent="0.2">
      <c r="A964" s="1402"/>
      <c r="B964" s="1405"/>
      <c r="C964" s="1407"/>
      <c r="D964" s="1405"/>
      <c r="E964" s="1405"/>
      <c r="F964" s="1405"/>
      <c r="G964" s="1405"/>
      <c r="H964" s="1405"/>
      <c r="I964" s="1405"/>
      <c r="J964" s="1405"/>
      <c r="K964" s="1405"/>
      <c r="L964" s="1405"/>
      <c r="M964" s="1405"/>
      <c r="S964" s="1731"/>
    </row>
    <row r="965" spans="1:19" x14ac:dyDescent="0.2">
      <c r="A965" s="1402"/>
      <c r="B965" s="1405"/>
      <c r="C965" s="1407"/>
      <c r="D965" s="1405"/>
      <c r="E965" s="1405"/>
      <c r="F965" s="1405"/>
      <c r="G965" s="1405"/>
      <c r="H965" s="1405"/>
      <c r="I965" s="1405"/>
      <c r="J965" s="1405"/>
      <c r="K965" s="1405"/>
      <c r="L965" s="1405"/>
      <c r="M965" s="1405"/>
      <c r="S965" s="1731"/>
    </row>
    <row r="966" spans="1:19" x14ac:dyDescent="0.2">
      <c r="A966" s="1402"/>
      <c r="B966" s="1405"/>
      <c r="C966" s="1407"/>
      <c r="D966" s="1405"/>
      <c r="E966" s="1405"/>
      <c r="F966" s="1405"/>
      <c r="G966" s="1405"/>
      <c r="H966" s="1405"/>
      <c r="I966" s="1405"/>
      <c r="J966" s="1405"/>
      <c r="K966" s="1405"/>
      <c r="L966" s="1405"/>
      <c r="M966" s="1405"/>
      <c r="S966" s="1731"/>
    </row>
    <row r="967" spans="1:19" x14ac:dyDescent="0.2">
      <c r="A967" s="1402"/>
      <c r="B967" s="1405"/>
      <c r="C967" s="1407"/>
      <c r="D967" s="1405"/>
      <c r="E967" s="1405"/>
      <c r="F967" s="1405"/>
      <c r="G967" s="1405"/>
      <c r="H967" s="1405"/>
      <c r="I967" s="1405"/>
      <c r="J967" s="1405"/>
      <c r="K967" s="1405"/>
      <c r="L967" s="1405"/>
      <c r="M967" s="1405"/>
      <c r="S967" s="1731"/>
    </row>
    <row r="968" spans="1:19" x14ac:dyDescent="0.2">
      <c r="A968" s="1402"/>
      <c r="B968" s="1405"/>
      <c r="C968" s="1407"/>
      <c r="D968" s="1405"/>
      <c r="E968" s="1405"/>
      <c r="F968" s="1405"/>
      <c r="G968" s="1405"/>
      <c r="H968" s="1405"/>
      <c r="I968" s="1405"/>
      <c r="J968" s="1405"/>
      <c r="K968" s="1405"/>
      <c r="L968" s="1405"/>
      <c r="M968" s="1405"/>
      <c r="S968" s="1731"/>
    </row>
    <row r="969" spans="1:19" x14ac:dyDescent="0.2">
      <c r="A969" s="1402"/>
      <c r="B969" s="1405"/>
      <c r="C969" s="1407"/>
      <c r="D969" s="1405"/>
      <c r="E969" s="1405"/>
      <c r="F969" s="1405"/>
      <c r="G969" s="1405"/>
      <c r="H969" s="1405"/>
      <c r="I969" s="1405"/>
      <c r="J969" s="1405"/>
      <c r="K969" s="1405"/>
      <c r="L969" s="1405"/>
      <c r="M969" s="1405"/>
      <c r="S969" s="1731"/>
    </row>
    <row r="970" spans="1:19" x14ac:dyDescent="0.2">
      <c r="A970" s="1402"/>
      <c r="B970" s="1405"/>
      <c r="C970" s="1407"/>
      <c r="D970" s="1405"/>
      <c r="E970" s="1405"/>
      <c r="F970" s="1405"/>
      <c r="G970" s="1405"/>
      <c r="H970" s="1405"/>
      <c r="I970" s="1405"/>
      <c r="J970" s="1405"/>
      <c r="K970" s="1405"/>
      <c r="L970" s="1405"/>
      <c r="M970" s="1405"/>
      <c r="S970" s="1731"/>
    </row>
    <row r="971" spans="1:19" x14ac:dyDescent="0.2">
      <c r="A971" s="1402"/>
      <c r="B971" s="1405"/>
      <c r="C971" s="1407"/>
      <c r="D971" s="1405"/>
      <c r="E971" s="1405"/>
      <c r="F971" s="1405"/>
      <c r="G971" s="1405"/>
      <c r="H971" s="1405"/>
      <c r="I971" s="1405"/>
      <c r="J971" s="1405"/>
      <c r="K971" s="1405"/>
      <c r="L971" s="1405"/>
      <c r="M971" s="1405"/>
      <c r="S971" s="1731"/>
    </row>
    <row r="972" spans="1:19" x14ac:dyDescent="0.2">
      <c r="A972" s="1402"/>
      <c r="B972" s="1405"/>
      <c r="C972" s="1407"/>
      <c r="D972" s="1405"/>
      <c r="E972" s="1405"/>
      <c r="F972" s="1405"/>
      <c r="G972" s="1405"/>
      <c r="H972" s="1405"/>
      <c r="I972" s="1405"/>
      <c r="J972" s="1405"/>
      <c r="K972" s="1405"/>
      <c r="L972" s="1405"/>
      <c r="M972" s="1405"/>
      <c r="S972" s="1731"/>
    </row>
    <row r="973" spans="1:19" x14ac:dyDescent="0.2">
      <c r="A973" s="1402"/>
      <c r="B973" s="1405"/>
      <c r="C973" s="1407"/>
      <c r="D973" s="1405"/>
      <c r="E973" s="1405"/>
      <c r="F973" s="1405"/>
      <c r="G973" s="1405"/>
      <c r="H973" s="1405"/>
      <c r="I973" s="1405"/>
      <c r="J973" s="1405"/>
      <c r="K973" s="1405"/>
      <c r="L973" s="1405"/>
      <c r="M973" s="1405"/>
      <c r="S973" s="1731"/>
    </row>
    <row r="974" spans="1:19" x14ac:dyDescent="0.2">
      <c r="A974" s="1402"/>
      <c r="B974" s="1405"/>
      <c r="C974" s="1407"/>
      <c r="D974" s="1405"/>
      <c r="E974" s="1405"/>
      <c r="F974" s="1405"/>
      <c r="G974" s="1405"/>
      <c r="H974" s="1405"/>
      <c r="I974" s="1405"/>
      <c r="J974" s="1405"/>
      <c r="K974" s="1405"/>
      <c r="L974" s="1405"/>
      <c r="M974" s="1405"/>
      <c r="S974" s="1731"/>
    </row>
    <row r="975" spans="1:19" x14ac:dyDescent="0.2">
      <c r="A975" s="1402"/>
      <c r="B975" s="1405"/>
      <c r="C975" s="1407"/>
      <c r="D975" s="1405"/>
      <c r="E975" s="1405"/>
      <c r="F975" s="1405"/>
      <c r="G975" s="1405"/>
      <c r="H975" s="1405"/>
      <c r="I975" s="1405"/>
      <c r="J975" s="1405"/>
      <c r="K975" s="1405"/>
      <c r="L975" s="1405"/>
      <c r="M975" s="1405"/>
      <c r="S975" s="1731"/>
    </row>
    <row r="976" spans="1:19" x14ac:dyDescent="0.2">
      <c r="A976" s="1402"/>
      <c r="B976" s="1405"/>
      <c r="C976" s="1407"/>
      <c r="D976" s="1405"/>
      <c r="E976" s="1405"/>
      <c r="F976" s="1405"/>
      <c r="G976" s="1405"/>
      <c r="H976" s="1405"/>
      <c r="I976" s="1405"/>
      <c r="J976" s="1405"/>
      <c r="K976" s="1405"/>
      <c r="L976" s="1405"/>
      <c r="M976" s="1405"/>
      <c r="S976" s="1731"/>
    </row>
    <row r="977" spans="1:19" x14ac:dyDescent="0.2">
      <c r="A977" s="1402"/>
      <c r="B977" s="1405"/>
      <c r="C977" s="1407"/>
      <c r="D977" s="1405"/>
      <c r="E977" s="1405"/>
      <c r="F977" s="1405"/>
      <c r="G977" s="1405"/>
      <c r="H977" s="1405"/>
      <c r="I977" s="1405"/>
      <c r="J977" s="1405"/>
      <c r="K977" s="1405"/>
      <c r="L977" s="1405"/>
      <c r="M977" s="1405"/>
      <c r="S977" s="1731"/>
    </row>
    <row r="978" spans="1:19" x14ac:dyDescent="0.2">
      <c r="A978" s="1402"/>
      <c r="B978" s="1405"/>
      <c r="C978" s="1407"/>
      <c r="D978" s="1405"/>
      <c r="E978" s="1405"/>
      <c r="F978" s="1405"/>
      <c r="G978" s="1405"/>
      <c r="H978" s="1405"/>
      <c r="I978" s="1405"/>
      <c r="J978" s="1405"/>
      <c r="K978" s="1405"/>
      <c r="L978" s="1405"/>
      <c r="M978" s="1405"/>
      <c r="S978" s="1731"/>
    </row>
    <row r="979" spans="1:19" x14ac:dyDescent="0.2">
      <c r="A979" s="1402"/>
      <c r="B979" s="1405"/>
      <c r="C979" s="1407"/>
      <c r="D979" s="1405"/>
      <c r="E979" s="1405"/>
      <c r="F979" s="1405"/>
      <c r="G979" s="1405"/>
      <c r="H979" s="1405"/>
      <c r="I979" s="1405"/>
      <c r="J979" s="1405"/>
      <c r="K979" s="1405"/>
      <c r="L979" s="1405"/>
      <c r="M979" s="1405"/>
      <c r="S979" s="1731"/>
    </row>
    <row r="980" spans="1:19" x14ac:dyDescent="0.2">
      <c r="A980" s="1402"/>
      <c r="B980" s="1405"/>
      <c r="C980" s="1407"/>
      <c r="D980" s="1405"/>
      <c r="E980" s="1405"/>
      <c r="F980" s="1405"/>
      <c r="G980" s="1405"/>
      <c r="H980" s="1405"/>
      <c r="I980" s="1405"/>
      <c r="J980" s="1405"/>
      <c r="K980" s="1405"/>
      <c r="L980" s="1405"/>
      <c r="M980" s="1405"/>
      <c r="S980" s="1731"/>
    </row>
    <row r="981" spans="1:19" x14ac:dyDescent="0.2">
      <c r="A981" s="1402"/>
      <c r="B981" s="1405"/>
      <c r="C981" s="1407"/>
      <c r="D981" s="1405"/>
      <c r="E981" s="1405"/>
      <c r="F981" s="1405"/>
      <c r="G981" s="1405"/>
      <c r="H981" s="1405"/>
      <c r="I981" s="1405"/>
      <c r="J981" s="1405"/>
      <c r="K981" s="1405"/>
      <c r="L981" s="1405"/>
      <c r="M981" s="1405"/>
      <c r="S981" s="1731"/>
    </row>
    <row r="982" spans="1:19" x14ac:dyDescent="0.2">
      <c r="A982" s="1402"/>
      <c r="B982" s="1405"/>
      <c r="C982" s="1407"/>
      <c r="D982" s="1405"/>
      <c r="E982" s="1405"/>
      <c r="F982" s="1405"/>
      <c r="G982" s="1405"/>
      <c r="H982" s="1405"/>
      <c r="I982" s="1405"/>
      <c r="J982" s="1405"/>
      <c r="K982" s="1405"/>
      <c r="L982" s="1405"/>
      <c r="M982" s="1405"/>
      <c r="S982" s="1731"/>
    </row>
    <row r="983" spans="1:19" x14ac:dyDescent="0.2">
      <c r="A983" s="1402"/>
      <c r="B983" s="1405"/>
      <c r="C983" s="1407"/>
      <c r="D983" s="1405"/>
      <c r="E983" s="1405"/>
      <c r="F983" s="1405"/>
      <c r="G983" s="1405"/>
      <c r="H983" s="1405"/>
      <c r="I983" s="1405"/>
      <c r="J983" s="1405"/>
      <c r="K983" s="1405"/>
      <c r="L983" s="1405"/>
      <c r="M983" s="1405"/>
      <c r="S983" s="1731"/>
    </row>
    <row r="984" spans="1:19" x14ac:dyDescent="0.2">
      <c r="A984" s="1402"/>
      <c r="B984" s="1405"/>
      <c r="C984" s="1407"/>
      <c r="D984" s="1405"/>
      <c r="E984" s="1405"/>
      <c r="F984" s="1405"/>
      <c r="G984" s="1405"/>
      <c r="H984" s="1405"/>
      <c r="I984" s="1405"/>
      <c r="J984" s="1405"/>
      <c r="K984" s="1405"/>
      <c r="L984" s="1405"/>
      <c r="M984" s="1405"/>
      <c r="S984" s="1731"/>
    </row>
    <row r="985" spans="1:19" x14ac:dyDescent="0.2">
      <c r="A985" s="1402"/>
      <c r="B985" s="1405"/>
      <c r="C985" s="1407"/>
      <c r="D985" s="1405"/>
      <c r="E985" s="1405"/>
      <c r="F985" s="1405"/>
      <c r="G985" s="1405"/>
      <c r="H985" s="1405"/>
      <c r="I985" s="1405"/>
      <c r="J985" s="1405"/>
      <c r="K985" s="1405"/>
      <c r="L985" s="1405"/>
      <c r="M985" s="1405"/>
      <c r="S985" s="1731"/>
    </row>
    <row r="986" spans="1:19" x14ac:dyDescent="0.2">
      <c r="A986" s="1402"/>
      <c r="B986" s="1405"/>
      <c r="C986" s="1407"/>
      <c r="D986" s="1405"/>
      <c r="E986" s="1405"/>
      <c r="F986" s="1405"/>
      <c r="G986" s="1405"/>
      <c r="H986" s="1405"/>
      <c r="I986" s="1405"/>
      <c r="J986" s="1405"/>
      <c r="K986" s="1405"/>
      <c r="L986" s="1405"/>
      <c r="M986" s="1405"/>
      <c r="S986" s="1731"/>
    </row>
    <row r="987" spans="1:19" x14ac:dyDescent="0.2">
      <c r="A987" s="1402"/>
      <c r="B987" s="1405"/>
      <c r="C987" s="1407"/>
      <c r="D987" s="1405"/>
      <c r="E987" s="1405"/>
      <c r="F987" s="1405"/>
      <c r="G987" s="1405"/>
      <c r="H987" s="1405"/>
      <c r="I987" s="1405"/>
      <c r="J987" s="1405"/>
      <c r="K987" s="1405"/>
      <c r="L987" s="1405"/>
      <c r="M987" s="1405"/>
      <c r="S987" s="1731"/>
    </row>
    <row r="988" spans="1:19" x14ac:dyDescent="0.2">
      <c r="A988" s="1402"/>
      <c r="B988" s="1405"/>
      <c r="C988" s="1407"/>
      <c r="D988" s="1405"/>
      <c r="E988" s="1405"/>
      <c r="F988" s="1405"/>
      <c r="G988" s="1405"/>
      <c r="H988" s="1405"/>
      <c r="I988" s="1405"/>
      <c r="J988" s="1405"/>
      <c r="K988" s="1405"/>
      <c r="L988" s="1405"/>
      <c r="M988" s="1405"/>
      <c r="S988" s="1731"/>
    </row>
    <row r="989" spans="1:19" x14ac:dyDescent="0.2">
      <c r="A989" s="1402"/>
      <c r="B989" s="1405"/>
      <c r="C989" s="1407"/>
      <c r="D989" s="1405"/>
      <c r="E989" s="1405"/>
      <c r="F989" s="1405"/>
      <c r="G989" s="1405"/>
      <c r="H989" s="1405"/>
      <c r="I989" s="1405"/>
      <c r="J989" s="1405"/>
      <c r="K989" s="1405"/>
      <c r="L989" s="1405"/>
      <c r="M989" s="1405"/>
      <c r="S989" s="1731"/>
    </row>
    <row r="990" spans="1:19" x14ac:dyDescent="0.2">
      <c r="A990" s="1402"/>
      <c r="B990" s="1405"/>
      <c r="C990" s="1407"/>
      <c r="D990" s="1405"/>
      <c r="E990" s="1405"/>
      <c r="F990" s="1405"/>
      <c r="G990" s="1405"/>
      <c r="H990" s="1405"/>
      <c r="I990" s="1405"/>
      <c r="J990" s="1405"/>
      <c r="K990" s="1405"/>
      <c r="L990" s="1405"/>
      <c r="M990" s="1405"/>
      <c r="S990" s="1731"/>
    </row>
    <row r="991" spans="1:19" x14ac:dyDescent="0.2">
      <c r="A991" s="1402"/>
      <c r="B991" s="1405"/>
      <c r="C991" s="1407"/>
      <c r="D991" s="1405"/>
      <c r="E991" s="1405"/>
      <c r="F991" s="1405"/>
      <c r="G991" s="1405"/>
      <c r="H991" s="1405"/>
      <c r="I991" s="1405"/>
      <c r="J991" s="1405"/>
      <c r="K991" s="1405"/>
      <c r="L991" s="1405"/>
      <c r="M991" s="1405"/>
      <c r="S991" s="1731"/>
    </row>
    <row r="992" spans="1:19" x14ac:dyDescent="0.2">
      <c r="A992" s="1402"/>
      <c r="B992" s="1405"/>
      <c r="C992" s="1407"/>
      <c r="D992" s="1405"/>
      <c r="E992" s="1405"/>
      <c r="F992" s="1405"/>
      <c r="G992" s="1405"/>
      <c r="H992" s="1405"/>
      <c r="I992" s="1405"/>
      <c r="J992" s="1405"/>
      <c r="K992" s="1405"/>
      <c r="L992" s="1405"/>
      <c r="M992" s="1405"/>
      <c r="S992" s="1731"/>
    </row>
    <row r="993" spans="1:19" x14ac:dyDescent="0.2">
      <c r="A993" s="1402"/>
      <c r="B993" s="1405"/>
      <c r="C993" s="1407"/>
      <c r="D993" s="1405"/>
      <c r="E993" s="1405"/>
      <c r="F993" s="1405"/>
      <c r="G993" s="1405"/>
      <c r="H993" s="1405"/>
      <c r="I993" s="1405"/>
      <c r="J993" s="1405"/>
      <c r="K993" s="1405"/>
      <c r="L993" s="1405"/>
      <c r="M993" s="1405"/>
      <c r="S993" s="1731"/>
    </row>
    <row r="994" spans="1:19" x14ac:dyDescent="0.2">
      <c r="A994" s="1402"/>
      <c r="B994" s="1405"/>
      <c r="C994" s="1407"/>
      <c r="D994" s="1405"/>
      <c r="E994" s="1405"/>
      <c r="F994" s="1405"/>
      <c r="G994" s="1405"/>
      <c r="H994" s="1405"/>
      <c r="I994" s="1405"/>
      <c r="J994" s="1405"/>
      <c r="K994" s="1405"/>
      <c r="L994" s="1405"/>
      <c r="M994" s="1405"/>
      <c r="S994" s="1731"/>
    </row>
    <row r="995" spans="1:19" x14ac:dyDescent="0.2">
      <c r="A995" s="1402"/>
      <c r="B995" s="1405"/>
      <c r="C995" s="1407"/>
      <c r="D995" s="1405"/>
      <c r="E995" s="1405"/>
      <c r="F995" s="1405"/>
      <c r="G995" s="1405"/>
      <c r="H995" s="1405"/>
      <c r="I995" s="1405"/>
      <c r="J995" s="1405"/>
      <c r="K995" s="1405"/>
      <c r="L995" s="1405"/>
      <c r="M995" s="1405"/>
      <c r="S995" s="1731"/>
    </row>
    <row r="996" spans="1:19" x14ac:dyDescent="0.2">
      <c r="A996" s="1402"/>
      <c r="B996" s="1405"/>
      <c r="C996" s="1407"/>
      <c r="D996" s="1405"/>
      <c r="E996" s="1405"/>
      <c r="F996" s="1405"/>
      <c r="G996" s="1405"/>
      <c r="H996" s="1405"/>
      <c r="I996" s="1405"/>
      <c r="J996" s="1405"/>
      <c r="K996" s="1405"/>
      <c r="L996" s="1405"/>
      <c r="M996" s="1405"/>
      <c r="S996" s="1731"/>
    </row>
    <row r="997" spans="1:19" x14ac:dyDescent="0.2">
      <c r="A997" s="1402"/>
      <c r="B997" s="1405"/>
      <c r="C997" s="1407"/>
      <c r="D997" s="1405"/>
      <c r="E997" s="1405"/>
      <c r="F997" s="1405"/>
      <c r="G997" s="1405"/>
      <c r="H997" s="1405"/>
      <c r="I997" s="1405"/>
      <c r="J997" s="1405"/>
      <c r="K997" s="1405"/>
      <c r="L997" s="1405"/>
      <c r="M997" s="1405"/>
      <c r="S997" s="1731"/>
    </row>
    <row r="998" spans="1:19" x14ac:dyDescent="0.2">
      <c r="A998" s="1402"/>
      <c r="B998" s="1405"/>
      <c r="C998" s="1407"/>
      <c r="D998" s="1405"/>
      <c r="E998" s="1405"/>
      <c r="F998" s="1405"/>
      <c r="G998" s="1405"/>
      <c r="H998" s="1405"/>
      <c r="I998" s="1405"/>
      <c r="J998" s="1405"/>
      <c r="K998" s="1405"/>
      <c r="L998" s="1405"/>
      <c r="M998" s="1405"/>
      <c r="S998" s="1731"/>
    </row>
    <row r="999" spans="1:19" x14ac:dyDescent="0.2">
      <c r="A999" s="1402"/>
      <c r="B999" s="1405"/>
      <c r="C999" s="1407"/>
      <c r="D999" s="1405"/>
      <c r="E999" s="1405"/>
      <c r="F999" s="1405"/>
      <c r="G999" s="1405"/>
      <c r="H999" s="1405"/>
      <c r="I999" s="1405"/>
      <c r="J999" s="1405"/>
      <c r="K999" s="1405"/>
      <c r="L999" s="1405"/>
      <c r="M999" s="1405"/>
      <c r="S999" s="1731"/>
    </row>
    <row r="1000" spans="1:19" x14ac:dyDescent="0.2">
      <c r="A1000" s="1402"/>
      <c r="B1000" s="1405"/>
      <c r="C1000" s="1407"/>
      <c r="D1000" s="1405"/>
      <c r="E1000" s="1405"/>
      <c r="F1000" s="1405"/>
      <c r="G1000" s="1405"/>
      <c r="H1000" s="1405"/>
      <c r="I1000" s="1405"/>
      <c r="J1000" s="1405"/>
      <c r="K1000" s="1405"/>
      <c r="L1000" s="1405"/>
      <c r="M1000" s="1405"/>
      <c r="S1000" s="1731"/>
    </row>
    <row r="1001" spans="1:19" x14ac:dyDescent="0.2">
      <c r="A1001" s="1402"/>
      <c r="B1001" s="1405"/>
      <c r="C1001" s="1407"/>
      <c r="D1001" s="1405"/>
      <c r="E1001" s="1405"/>
      <c r="F1001" s="1405"/>
      <c r="G1001" s="1405"/>
      <c r="H1001" s="1405"/>
      <c r="I1001" s="1405"/>
      <c r="J1001" s="1405"/>
      <c r="K1001" s="1405"/>
      <c r="L1001" s="1405"/>
      <c r="M1001" s="1405"/>
      <c r="S1001" s="1731"/>
    </row>
    <row r="1002" spans="1:19" x14ac:dyDescent="0.2">
      <c r="A1002" s="1402"/>
      <c r="B1002" s="1405"/>
      <c r="C1002" s="1407"/>
      <c r="D1002" s="1405"/>
      <c r="E1002" s="1405"/>
      <c r="F1002" s="1405"/>
      <c r="G1002" s="1405"/>
      <c r="H1002" s="1405"/>
      <c r="I1002" s="1405"/>
      <c r="J1002" s="1405"/>
      <c r="K1002" s="1405"/>
      <c r="L1002" s="1405"/>
      <c r="M1002" s="1405"/>
      <c r="S1002" s="1731"/>
    </row>
    <row r="1003" spans="1:19" x14ac:dyDescent="0.2">
      <c r="A1003" s="1402"/>
      <c r="B1003" s="1405"/>
      <c r="C1003" s="1407"/>
      <c r="D1003" s="1405"/>
      <c r="E1003" s="1405"/>
      <c r="F1003" s="1405"/>
      <c r="G1003" s="1405"/>
      <c r="H1003" s="1405"/>
      <c r="I1003" s="1405"/>
      <c r="J1003" s="1405"/>
      <c r="K1003" s="1405"/>
      <c r="L1003" s="1405"/>
      <c r="M1003" s="1405"/>
      <c r="S1003" s="1731"/>
    </row>
    <row r="1004" spans="1:19" x14ac:dyDescent="0.2">
      <c r="A1004" s="1402"/>
      <c r="B1004" s="1405"/>
      <c r="C1004" s="1407"/>
      <c r="D1004" s="1405"/>
      <c r="E1004" s="1405"/>
      <c r="F1004" s="1405"/>
      <c r="G1004" s="1405"/>
      <c r="H1004" s="1405"/>
      <c r="I1004" s="1405"/>
      <c r="J1004" s="1405"/>
      <c r="K1004" s="1405"/>
      <c r="L1004" s="1405"/>
      <c r="M1004" s="1405"/>
      <c r="S1004" s="1731"/>
    </row>
    <row r="1005" spans="1:19" x14ac:dyDescent="0.2">
      <c r="A1005" s="1402"/>
      <c r="B1005" s="1405"/>
      <c r="C1005" s="1407"/>
      <c r="D1005" s="1405"/>
      <c r="E1005" s="1405"/>
      <c r="F1005" s="1405"/>
      <c r="G1005" s="1405"/>
      <c r="H1005" s="1405"/>
      <c r="I1005" s="1405"/>
      <c r="J1005" s="1405"/>
      <c r="K1005" s="1405"/>
      <c r="L1005" s="1405"/>
      <c r="M1005" s="1405"/>
      <c r="S1005" s="1731"/>
    </row>
    <row r="1006" spans="1:19" x14ac:dyDescent="0.2">
      <c r="A1006" s="1402"/>
      <c r="B1006" s="1405"/>
      <c r="C1006" s="1407"/>
      <c r="D1006" s="1405"/>
      <c r="E1006" s="1405"/>
      <c r="F1006" s="1405"/>
      <c r="G1006" s="1405"/>
      <c r="H1006" s="1405"/>
      <c r="I1006" s="1405"/>
      <c r="J1006" s="1405"/>
      <c r="K1006" s="1405"/>
      <c r="L1006" s="1405"/>
      <c r="M1006" s="1405"/>
      <c r="S1006" s="1731"/>
    </row>
    <row r="1007" spans="1:19" x14ac:dyDescent="0.2">
      <c r="A1007" s="1402"/>
      <c r="B1007" s="1405"/>
      <c r="C1007" s="1407"/>
      <c r="D1007" s="1405"/>
      <c r="E1007" s="1405"/>
      <c r="F1007" s="1405"/>
      <c r="G1007" s="1405"/>
      <c r="H1007" s="1405"/>
      <c r="I1007" s="1405"/>
      <c r="J1007" s="1405"/>
      <c r="K1007" s="1405"/>
      <c r="L1007" s="1405"/>
      <c r="M1007" s="1405"/>
      <c r="S1007" s="1731"/>
    </row>
    <row r="1008" spans="1:19" x14ac:dyDescent="0.2">
      <c r="A1008" s="1402"/>
      <c r="B1008" s="1405"/>
      <c r="C1008" s="1407"/>
      <c r="D1008" s="1405"/>
      <c r="E1008" s="1405"/>
      <c r="F1008" s="1405"/>
      <c r="G1008" s="1405"/>
      <c r="H1008" s="1405"/>
      <c r="I1008" s="1405"/>
      <c r="J1008" s="1405"/>
      <c r="K1008" s="1405"/>
      <c r="L1008" s="1405"/>
      <c r="M1008" s="1405"/>
      <c r="S1008" s="1731"/>
    </row>
    <row r="1009" spans="1:19" x14ac:dyDescent="0.2">
      <c r="A1009" s="1402"/>
      <c r="B1009" s="1405"/>
      <c r="C1009" s="1407"/>
      <c r="D1009" s="1405"/>
      <c r="E1009" s="1405"/>
      <c r="F1009" s="1405"/>
      <c r="G1009" s="1405"/>
      <c r="H1009" s="1405"/>
      <c r="I1009" s="1405"/>
      <c r="J1009" s="1405"/>
      <c r="K1009" s="1405"/>
      <c r="L1009" s="1405"/>
      <c r="M1009" s="1405"/>
      <c r="S1009" s="1731"/>
    </row>
    <row r="1010" spans="1:19" x14ac:dyDescent="0.2">
      <c r="A1010" s="1402"/>
      <c r="B1010" s="1405"/>
      <c r="C1010" s="1407"/>
      <c r="D1010" s="1405"/>
      <c r="E1010" s="1405"/>
      <c r="F1010" s="1405"/>
      <c r="G1010" s="1405"/>
      <c r="H1010" s="1405"/>
      <c r="I1010" s="1405"/>
      <c r="J1010" s="1405"/>
      <c r="K1010" s="1405"/>
      <c r="L1010" s="1405"/>
      <c r="M1010" s="1405"/>
      <c r="S1010" s="1731"/>
    </row>
    <row r="1011" spans="1:19" x14ac:dyDescent="0.2">
      <c r="A1011" s="1402"/>
      <c r="B1011" s="1405"/>
      <c r="C1011" s="1407"/>
      <c r="D1011" s="1405"/>
      <c r="E1011" s="1405"/>
      <c r="F1011" s="1405"/>
      <c r="G1011" s="1405"/>
      <c r="H1011" s="1405"/>
      <c r="I1011" s="1405"/>
      <c r="J1011" s="1405"/>
      <c r="K1011" s="1405"/>
      <c r="L1011" s="1405"/>
      <c r="M1011" s="1405"/>
      <c r="S1011" s="1731"/>
    </row>
    <row r="1012" spans="1:19" x14ac:dyDescent="0.2">
      <c r="A1012" s="1402"/>
      <c r="B1012" s="1405"/>
      <c r="C1012" s="1407"/>
      <c r="D1012" s="1405"/>
      <c r="E1012" s="1405"/>
      <c r="F1012" s="1405"/>
      <c r="G1012" s="1405"/>
      <c r="H1012" s="1405"/>
      <c r="I1012" s="1405"/>
      <c r="J1012" s="1405"/>
      <c r="K1012" s="1405"/>
      <c r="L1012" s="1405"/>
      <c r="M1012" s="1405"/>
      <c r="S1012" s="1731"/>
    </row>
    <row r="1013" spans="1:19" x14ac:dyDescent="0.2">
      <c r="A1013" s="1402"/>
      <c r="B1013" s="1405"/>
      <c r="C1013" s="1407"/>
      <c r="D1013" s="1405"/>
      <c r="E1013" s="1405"/>
      <c r="F1013" s="1405"/>
      <c r="G1013" s="1405"/>
      <c r="H1013" s="1405"/>
      <c r="I1013" s="1405"/>
      <c r="J1013" s="1405"/>
      <c r="K1013" s="1405"/>
      <c r="L1013" s="1405"/>
      <c r="M1013" s="1405"/>
      <c r="S1013" s="1731"/>
    </row>
    <row r="1014" spans="1:19" x14ac:dyDescent="0.2">
      <c r="A1014" s="1402"/>
      <c r="B1014" s="1405"/>
      <c r="C1014" s="1407"/>
      <c r="D1014" s="1405"/>
      <c r="E1014" s="1405"/>
      <c r="F1014" s="1405"/>
      <c r="G1014" s="1405"/>
      <c r="H1014" s="1405"/>
      <c r="I1014" s="1405"/>
      <c r="J1014" s="1405"/>
      <c r="K1014" s="1405"/>
      <c r="L1014" s="1405"/>
      <c r="M1014" s="1405"/>
      <c r="S1014" s="1731"/>
    </row>
    <row r="1015" spans="1:19" x14ac:dyDescent="0.2">
      <c r="A1015" s="1402"/>
      <c r="B1015" s="1405"/>
      <c r="C1015" s="1407"/>
      <c r="D1015" s="1405"/>
      <c r="E1015" s="1405"/>
      <c r="F1015" s="1405"/>
      <c r="G1015" s="1405"/>
      <c r="H1015" s="1405"/>
      <c r="I1015" s="1405"/>
      <c r="J1015" s="1405"/>
      <c r="K1015" s="1405"/>
      <c r="L1015" s="1405"/>
      <c r="M1015" s="1405"/>
      <c r="S1015" s="1731"/>
    </row>
    <row r="1016" spans="1:19" x14ac:dyDescent="0.2">
      <c r="A1016" s="1402"/>
      <c r="B1016" s="1405"/>
      <c r="C1016" s="1407"/>
      <c r="D1016" s="1405"/>
      <c r="E1016" s="1405"/>
      <c r="F1016" s="1405"/>
      <c r="G1016" s="1405"/>
      <c r="H1016" s="1405"/>
      <c r="I1016" s="1405"/>
      <c r="J1016" s="1405"/>
      <c r="K1016" s="1405"/>
      <c r="L1016" s="1405"/>
      <c r="M1016" s="1405"/>
      <c r="S1016" s="1731"/>
    </row>
    <row r="1017" spans="1:19" x14ac:dyDescent="0.2">
      <c r="A1017" s="1402"/>
      <c r="B1017" s="1405"/>
      <c r="C1017" s="1407"/>
      <c r="D1017" s="1405"/>
      <c r="E1017" s="1405"/>
      <c r="F1017" s="1405"/>
      <c r="G1017" s="1405"/>
      <c r="H1017" s="1405"/>
      <c r="I1017" s="1405"/>
      <c r="J1017" s="1405"/>
      <c r="K1017" s="1405"/>
      <c r="L1017" s="1405"/>
      <c r="M1017" s="1405"/>
      <c r="S1017" s="1731"/>
    </row>
    <row r="1018" spans="1:19" x14ac:dyDescent="0.2">
      <c r="A1018" s="1402"/>
      <c r="B1018" s="1405"/>
      <c r="C1018" s="1407"/>
      <c r="D1018" s="1405"/>
      <c r="E1018" s="1405"/>
      <c r="F1018" s="1405"/>
      <c r="G1018" s="1405"/>
      <c r="H1018" s="1405"/>
      <c r="I1018" s="1405"/>
      <c r="J1018" s="1405"/>
      <c r="K1018" s="1405"/>
      <c r="L1018" s="1405"/>
      <c r="M1018" s="1405"/>
      <c r="S1018" s="1731"/>
    </row>
    <row r="1019" spans="1:19" x14ac:dyDescent="0.2">
      <c r="A1019" s="1402"/>
      <c r="B1019" s="1405"/>
      <c r="C1019" s="1407"/>
      <c r="D1019" s="1405"/>
      <c r="E1019" s="1405"/>
      <c r="F1019" s="1405"/>
      <c r="G1019" s="1405"/>
      <c r="H1019" s="1405"/>
      <c r="I1019" s="1405"/>
      <c r="J1019" s="1405"/>
      <c r="K1019" s="1405"/>
      <c r="L1019" s="1405"/>
      <c r="M1019" s="1405"/>
      <c r="S1019" s="1731"/>
    </row>
    <row r="1020" spans="1:19" x14ac:dyDescent="0.2">
      <c r="A1020" s="1402"/>
      <c r="B1020" s="1405"/>
      <c r="C1020" s="1407"/>
      <c r="D1020" s="1405"/>
      <c r="E1020" s="1405"/>
      <c r="F1020" s="1405"/>
      <c r="G1020" s="1405"/>
      <c r="H1020" s="1405"/>
      <c r="I1020" s="1405"/>
      <c r="J1020" s="1405"/>
      <c r="K1020" s="1405"/>
      <c r="L1020" s="1405"/>
      <c r="M1020" s="1405"/>
      <c r="S1020" s="1731"/>
    </row>
    <row r="1021" spans="1:19" x14ac:dyDescent="0.2">
      <c r="A1021" s="1402"/>
      <c r="B1021" s="1405"/>
      <c r="C1021" s="1407"/>
      <c r="D1021" s="1405"/>
      <c r="E1021" s="1405"/>
      <c r="F1021" s="1405"/>
      <c r="G1021" s="1405"/>
      <c r="H1021" s="1405"/>
      <c r="I1021" s="1405"/>
      <c r="J1021" s="1405"/>
      <c r="K1021" s="1405"/>
      <c r="L1021" s="1405"/>
      <c r="M1021" s="1405"/>
      <c r="S1021" s="1731"/>
    </row>
    <row r="1022" spans="1:19" x14ac:dyDescent="0.2">
      <c r="A1022" s="1402"/>
      <c r="B1022" s="1405"/>
      <c r="C1022" s="1407"/>
      <c r="D1022" s="1405"/>
      <c r="E1022" s="1405"/>
      <c r="F1022" s="1405"/>
      <c r="G1022" s="1405"/>
      <c r="H1022" s="1405"/>
      <c r="I1022" s="1405"/>
      <c r="J1022" s="1405"/>
      <c r="K1022" s="1405"/>
      <c r="L1022" s="1405"/>
      <c r="M1022" s="1405"/>
      <c r="S1022" s="1731"/>
    </row>
    <row r="1023" spans="1:19" x14ac:dyDescent="0.2">
      <c r="A1023" s="1402"/>
      <c r="B1023" s="1405"/>
      <c r="C1023" s="1407"/>
      <c r="D1023" s="1405"/>
      <c r="E1023" s="1405"/>
      <c r="F1023" s="1405"/>
      <c r="G1023" s="1405"/>
      <c r="H1023" s="1405"/>
      <c r="I1023" s="1405"/>
      <c r="J1023" s="1405"/>
      <c r="K1023" s="1405"/>
      <c r="L1023" s="1405"/>
      <c r="M1023" s="1405"/>
      <c r="S1023" s="1731"/>
    </row>
    <row r="1024" spans="1:19" x14ac:dyDescent="0.2">
      <c r="A1024" s="1402"/>
      <c r="B1024" s="1405"/>
      <c r="C1024" s="1407"/>
      <c r="D1024" s="1405"/>
      <c r="E1024" s="1405"/>
      <c r="F1024" s="1405"/>
      <c r="G1024" s="1405"/>
      <c r="H1024" s="1405"/>
      <c r="I1024" s="1405"/>
      <c r="J1024" s="1405"/>
      <c r="K1024" s="1405"/>
      <c r="L1024" s="1405"/>
      <c r="M1024" s="1405"/>
      <c r="S1024" s="1731"/>
    </row>
    <row r="1025" spans="1:19" x14ac:dyDescent="0.2">
      <c r="A1025" s="1402"/>
      <c r="B1025" s="1405"/>
      <c r="C1025" s="1407"/>
      <c r="D1025" s="1405"/>
      <c r="E1025" s="1405"/>
      <c r="F1025" s="1405"/>
      <c r="G1025" s="1405"/>
      <c r="H1025" s="1405"/>
      <c r="I1025" s="1405"/>
      <c r="J1025" s="1405"/>
      <c r="K1025" s="1405"/>
      <c r="L1025" s="1405"/>
      <c r="M1025" s="1405"/>
      <c r="S1025" s="1731"/>
    </row>
    <row r="1026" spans="1:19" x14ac:dyDescent="0.2">
      <c r="A1026" s="1402"/>
      <c r="B1026" s="1405"/>
      <c r="C1026" s="1407"/>
      <c r="D1026" s="1405"/>
      <c r="E1026" s="1405"/>
      <c r="F1026" s="1405"/>
      <c r="G1026" s="1405"/>
      <c r="H1026" s="1405"/>
      <c r="I1026" s="1405"/>
      <c r="J1026" s="1405"/>
      <c r="K1026" s="1405"/>
      <c r="L1026" s="1405"/>
      <c r="M1026" s="1405"/>
      <c r="S1026" s="1731"/>
    </row>
    <row r="1027" spans="1:19" x14ac:dyDescent="0.2">
      <c r="A1027" s="1402"/>
      <c r="B1027" s="1405"/>
      <c r="C1027" s="1407"/>
      <c r="D1027" s="1405"/>
      <c r="E1027" s="1405"/>
      <c r="F1027" s="1405"/>
      <c r="G1027" s="1405"/>
      <c r="H1027" s="1405"/>
      <c r="I1027" s="1405"/>
      <c r="J1027" s="1405"/>
      <c r="K1027" s="1405"/>
      <c r="L1027" s="1405"/>
      <c r="M1027" s="1405"/>
      <c r="S1027" s="1731"/>
    </row>
    <row r="1028" spans="1:19" x14ac:dyDescent="0.2">
      <c r="A1028" s="1402"/>
      <c r="B1028" s="1405"/>
      <c r="C1028" s="1407"/>
      <c r="D1028" s="1405"/>
      <c r="E1028" s="1405"/>
      <c r="F1028" s="1405"/>
      <c r="G1028" s="1405"/>
      <c r="H1028" s="1405"/>
      <c r="I1028" s="1405"/>
      <c r="J1028" s="1405"/>
      <c r="K1028" s="1405"/>
      <c r="L1028" s="1405"/>
      <c r="M1028" s="1405"/>
      <c r="S1028" s="1731"/>
    </row>
    <row r="1029" spans="1:19" x14ac:dyDescent="0.2">
      <c r="A1029" s="1402"/>
      <c r="B1029" s="1405"/>
      <c r="C1029" s="1407"/>
      <c r="D1029" s="1405"/>
      <c r="E1029" s="1405"/>
      <c r="F1029" s="1405"/>
      <c r="G1029" s="1405"/>
      <c r="H1029" s="1405"/>
      <c r="I1029" s="1405"/>
      <c r="J1029" s="1405"/>
      <c r="K1029" s="1405"/>
      <c r="L1029" s="1405"/>
      <c r="M1029" s="1405"/>
      <c r="S1029" s="1731"/>
    </row>
    <row r="1030" spans="1:19" x14ac:dyDescent="0.2">
      <c r="A1030" s="1402"/>
      <c r="B1030" s="1405"/>
      <c r="C1030" s="1407"/>
      <c r="D1030" s="1405"/>
      <c r="E1030" s="1405"/>
      <c r="F1030" s="1405"/>
      <c r="G1030" s="1405"/>
      <c r="H1030" s="1405"/>
      <c r="I1030" s="1405"/>
      <c r="J1030" s="1405"/>
      <c r="K1030" s="1405"/>
      <c r="L1030" s="1405"/>
      <c r="M1030" s="1405"/>
      <c r="S1030" s="1731"/>
    </row>
    <row r="1031" spans="1:19" x14ac:dyDescent="0.2">
      <c r="A1031" s="1402"/>
      <c r="B1031" s="1405"/>
      <c r="C1031" s="1407"/>
      <c r="D1031" s="1405"/>
      <c r="E1031" s="1405"/>
      <c r="F1031" s="1405"/>
      <c r="G1031" s="1405"/>
      <c r="H1031" s="1405"/>
      <c r="I1031" s="1405"/>
      <c r="J1031" s="1405"/>
      <c r="K1031" s="1405"/>
      <c r="L1031" s="1405"/>
      <c r="M1031" s="1405"/>
      <c r="S1031" s="1731"/>
    </row>
    <row r="1032" spans="1:19" x14ac:dyDescent="0.2">
      <c r="A1032" s="1402"/>
      <c r="B1032" s="1405"/>
      <c r="C1032" s="1407"/>
      <c r="D1032" s="1405"/>
      <c r="E1032" s="1405"/>
      <c r="F1032" s="1405"/>
      <c r="G1032" s="1405"/>
      <c r="H1032" s="1405"/>
      <c r="I1032" s="1405"/>
      <c r="J1032" s="1405"/>
      <c r="K1032" s="1405"/>
      <c r="L1032" s="1405"/>
      <c r="M1032" s="1405"/>
      <c r="S1032" s="1731"/>
    </row>
    <row r="1033" spans="1:19" x14ac:dyDescent="0.2">
      <c r="A1033" s="1402"/>
      <c r="B1033" s="1405"/>
      <c r="C1033" s="1407"/>
      <c r="D1033" s="1405"/>
      <c r="E1033" s="1405"/>
      <c r="F1033" s="1405"/>
      <c r="G1033" s="1405"/>
      <c r="H1033" s="1405"/>
      <c r="I1033" s="1405"/>
      <c r="J1033" s="1405"/>
      <c r="K1033" s="1405"/>
      <c r="L1033" s="1405"/>
      <c r="M1033" s="1405"/>
      <c r="S1033" s="1731"/>
    </row>
    <row r="1034" spans="1:19" x14ac:dyDescent="0.2">
      <c r="A1034" s="1402"/>
      <c r="B1034" s="1405"/>
      <c r="C1034" s="1407"/>
      <c r="D1034" s="1405"/>
      <c r="E1034" s="1405"/>
      <c r="F1034" s="1405"/>
      <c r="G1034" s="1405"/>
      <c r="H1034" s="1405"/>
      <c r="I1034" s="1405"/>
      <c r="J1034" s="1405"/>
      <c r="K1034" s="1405"/>
      <c r="L1034" s="1405"/>
      <c r="M1034" s="1405"/>
      <c r="S1034" s="1731"/>
    </row>
    <row r="1035" spans="1:19" x14ac:dyDescent="0.2">
      <c r="A1035" s="1402"/>
      <c r="B1035" s="1405"/>
      <c r="C1035" s="1407"/>
      <c r="D1035" s="1405"/>
      <c r="E1035" s="1405"/>
      <c r="F1035" s="1405"/>
      <c r="G1035" s="1405"/>
      <c r="H1035" s="1405"/>
      <c r="I1035" s="1405"/>
      <c r="J1035" s="1405"/>
      <c r="K1035" s="1405"/>
      <c r="L1035" s="1405"/>
      <c r="M1035" s="1405"/>
      <c r="S1035" s="1731"/>
    </row>
    <row r="1036" spans="1:19" x14ac:dyDescent="0.2">
      <c r="A1036" s="1402"/>
      <c r="B1036" s="1405"/>
      <c r="C1036" s="1407"/>
      <c r="D1036" s="1405"/>
      <c r="E1036" s="1405"/>
      <c r="F1036" s="1405"/>
      <c r="G1036" s="1405"/>
      <c r="H1036" s="1405"/>
      <c r="I1036" s="1405"/>
      <c r="J1036" s="1405"/>
      <c r="K1036" s="1405"/>
      <c r="L1036" s="1405"/>
      <c r="M1036" s="1405"/>
      <c r="S1036" s="1731"/>
    </row>
    <row r="1037" spans="1:19" x14ac:dyDescent="0.2">
      <c r="A1037" s="1402"/>
      <c r="B1037" s="1405"/>
      <c r="C1037" s="1407"/>
      <c r="D1037" s="1405"/>
      <c r="E1037" s="1405"/>
      <c r="F1037" s="1405"/>
      <c r="G1037" s="1405"/>
      <c r="H1037" s="1405"/>
      <c r="I1037" s="1405"/>
      <c r="J1037" s="1405"/>
      <c r="K1037" s="1405"/>
      <c r="L1037" s="1405"/>
      <c r="M1037" s="1405"/>
      <c r="S1037" s="1731"/>
    </row>
    <row r="1038" spans="1:19" x14ac:dyDescent="0.2">
      <c r="A1038" s="1402"/>
      <c r="B1038" s="1405"/>
      <c r="C1038" s="1407"/>
      <c r="D1038" s="1405"/>
      <c r="E1038" s="1405"/>
      <c r="F1038" s="1405"/>
      <c r="G1038" s="1405"/>
      <c r="H1038" s="1405"/>
      <c r="I1038" s="1405"/>
      <c r="J1038" s="1405"/>
      <c r="K1038" s="1405"/>
      <c r="L1038" s="1405"/>
      <c r="M1038" s="1405"/>
      <c r="S1038" s="1731"/>
    </row>
    <row r="1039" spans="1:19" x14ac:dyDescent="0.2">
      <c r="A1039" s="1402"/>
      <c r="B1039" s="1405"/>
      <c r="C1039" s="1407"/>
      <c r="D1039" s="1405"/>
      <c r="E1039" s="1405"/>
      <c r="F1039" s="1405"/>
      <c r="G1039" s="1405"/>
      <c r="H1039" s="1405"/>
      <c r="I1039" s="1405"/>
      <c r="J1039" s="1405"/>
      <c r="K1039" s="1405"/>
      <c r="L1039" s="1405"/>
      <c r="M1039" s="1405"/>
      <c r="S1039" s="1731"/>
    </row>
    <row r="1040" spans="1:19" x14ac:dyDescent="0.2">
      <c r="A1040" s="1402"/>
      <c r="B1040" s="1405"/>
      <c r="C1040" s="1407"/>
      <c r="D1040" s="1405"/>
      <c r="E1040" s="1405"/>
      <c r="F1040" s="1405"/>
      <c r="G1040" s="1405"/>
      <c r="H1040" s="1405"/>
      <c r="I1040" s="1405"/>
      <c r="J1040" s="1405"/>
      <c r="K1040" s="1405"/>
      <c r="L1040" s="1405"/>
      <c r="M1040" s="1405"/>
      <c r="S1040" s="1731"/>
    </row>
    <row r="1041" spans="1:19" x14ac:dyDescent="0.2">
      <c r="A1041" s="1402"/>
      <c r="B1041" s="1405"/>
      <c r="C1041" s="1407"/>
      <c r="D1041" s="1405"/>
      <c r="E1041" s="1405"/>
      <c r="F1041" s="1405"/>
      <c r="G1041" s="1405"/>
      <c r="H1041" s="1405"/>
      <c r="I1041" s="1405"/>
      <c r="J1041" s="1405"/>
      <c r="K1041" s="1405"/>
      <c r="L1041" s="1405"/>
      <c r="M1041" s="1405"/>
      <c r="S1041" s="1731"/>
    </row>
    <row r="1042" spans="1:19" x14ac:dyDescent="0.2">
      <c r="A1042" s="1402"/>
      <c r="B1042" s="1405"/>
      <c r="C1042" s="1407"/>
      <c r="D1042" s="1405"/>
      <c r="E1042" s="1405"/>
      <c r="F1042" s="1405"/>
      <c r="G1042" s="1405"/>
      <c r="H1042" s="1405"/>
      <c r="I1042" s="1405"/>
      <c r="J1042" s="1405"/>
      <c r="K1042" s="1405"/>
      <c r="L1042" s="1405"/>
      <c r="M1042" s="1405"/>
      <c r="S1042" s="1731"/>
    </row>
    <row r="1043" spans="1:19" x14ac:dyDescent="0.2">
      <c r="A1043" s="1402"/>
      <c r="B1043" s="1405"/>
      <c r="C1043" s="1407"/>
      <c r="D1043" s="1405"/>
      <c r="E1043" s="1405"/>
      <c r="F1043" s="1405"/>
      <c r="G1043" s="1405"/>
      <c r="H1043" s="1405"/>
      <c r="I1043" s="1405"/>
      <c r="J1043" s="1405"/>
      <c r="K1043" s="1405"/>
      <c r="L1043" s="1405"/>
      <c r="M1043" s="1405"/>
      <c r="S1043" s="1731"/>
    </row>
    <row r="1044" spans="1:19" x14ac:dyDescent="0.2">
      <c r="A1044" s="1402"/>
      <c r="B1044" s="1405"/>
      <c r="C1044" s="1407"/>
      <c r="D1044" s="1405"/>
      <c r="E1044" s="1405"/>
      <c r="F1044" s="1405"/>
      <c r="G1044" s="1405"/>
      <c r="H1044" s="1405"/>
      <c r="I1044" s="1405"/>
      <c r="J1044" s="1405"/>
      <c r="K1044" s="1405"/>
      <c r="L1044" s="1405"/>
      <c r="M1044" s="1405"/>
      <c r="S1044" s="1731"/>
    </row>
    <row r="1045" spans="1:19" x14ac:dyDescent="0.2">
      <c r="A1045" s="1402"/>
      <c r="B1045" s="1405"/>
      <c r="C1045" s="1407"/>
      <c r="D1045" s="1405"/>
      <c r="E1045" s="1405"/>
      <c r="F1045" s="1405"/>
      <c r="G1045" s="1405"/>
      <c r="H1045" s="1405"/>
      <c r="I1045" s="1405"/>
      <c r="J1045" s="1405"/>
      <c r="K1045" s="1405"/>
      <c r="L1045" s="1405"/>
      <c r="M1045" s="1405"/>
      <c r="S1045" s="1731"/>
    </row>
    <row r="1046" spans="1:19" x14ac:dyDescent="0.2">
      <c r="A1046" s="1402"/>
      <c r="B1046" s="1405"/>
      <c r="C1046" s="1407"/>
      <c r="D1046" s="1405"/>
      <c r="E1046" s="1405"/>
      <c r="F1046" s="1405"/>
      <c r="G1046" s="1405"/>
      <c r="H1046" s="1405"/>
      <c r="I1046" s="1405"/>
      <c r="J1046" s="1405"/>
      <c r="K1046" s="1405"/>
      <c r="L1046" s="1405"/>
      <c r="M1046" s="1405"/>
      <c r="S1046" s="1731"/>
    </row>
    <row r="1047" spans="1:19" x14ac:dyDescent="0.2">
      <c r="A1047" s="1402"/>
      <c r="B1047" s="1405"/>
      <c r="C1047" s="1407"/>
      <c r="D1047" s="1405"/>
      <c r="E1047" s="1405"/>
      <c r="F1047" s="1405"/>
      <c r="G1047" s="1405"/>
      <c r="H1047" s="1405"/>
      <c r="I1047" s="1405"/>
      <c r="J1047" s="1405"/>
      <c r="K1047" s="1405"/>
      <c r="L1047" s="1405"/>
      <c r="M1047" s="1405"/>
      <c r="S1047" s="1731"/>
    </row>
    <row r="1048" spans="1:19" x14ac:dyDescent="0.2">
      <c r="A1048" s="1402"/>
      <c r="B1048" s="1405"/>
      <c r="C1048" s="1407"/>
      <c r="D1048" s="1405"/>
      <c r="E1048" s="1405"/>
      <c r="F1048" s="1405"/>
      <c r="G1048" s="1405"/>
      <c r="H1048" s="1405"/>
      <c r="I1048" s="1405"/>
      <c r="J1048" s="1405"/>
      <c r="K1048" s="1405"/>
      <c r="L1048" s="1405"/>
      <c r="M1048" s="1405"/>
      <c r="S1048" s="1731"/>
    </row>
    <row r="1049" spans="1:19" x14ac:dyDescent="0.2">
      <c r="A1049" s="1402"/>
      <c r="B1049" s="1405"/>
      <c r="C1049" s="1407"/>
      <c r="D1049" s="1405"/>
      <c r="E1049" s="1405"/>
      <c r="F1049" s="1405"/>
      <c r="G1049" s="1405"/>
      <c r="H1049" s="1405"/>
      <c r="I1049" s="1405"/>
      <c r="J1049" s="1405"/>
      <c r="K1049" s="1405"/>
      <c r="L1049" s="1405"/>
      <c r="M1049" s="1405"/>
      <c r="S1049" s="1731"/>
    </row>
    <row r="1050" spans="1:19" x14ac:dyDescent="0.2">
      <c r="A1050" s="1402"/>
      <c r="B1050" s="1405"/>
      <c r="C1050" s="1407"/>
      <c r="D1050" s="1405"/>
      <c r="E1050" s="1405"/>
      <c r="F1050" s="1405"/>
      <c r="G1050" s="1405"/>
      <c r="H1050" s="1405"/>
      <c r="I1050" s="1405"/>
      <c r="J1050" s="1405"/>
      <c r="K1050" s="1405"/>
      <c r="L1050" s="1405"/>
      <c r="M1050" s="1405"/>
      <c r="S1050" s="1731"/>
    </row>
    <row r="1051" spans="1:19" x14ac:dyDescent="0.2">
      <c r="A1051" s="1402"/>
      <c r="B1051" s="1405"/>
      <c r="C1051" s="1407"/>
      <c r="D1051" s="1405"/>
      <c r="E1051" s="1405"/>
      <c r="F1051" s="1405"/>
      <c r="G1051" s="1405"/>
      <c r="H1051" s="1405"/>
      <c r="I1051" s="1405"/>
      <c r="J1051" s="1405"/>
      <c r="K1051" s="1405"/>
      <c r="L1051" s="1405"/>
      <c r="M1051" s="1405"/>
      <c r="S1051" s="1731"/>
    </row>
    <row r="1052" spans="1:19" x14ac:dyDescent="0.2">
      <c r="A1052" s="1402"/>
      <c r="B1052" s="1405"/>
      <c r="C1052" s="1407"/>
      <c r="D1052" s="1405"/>
      <c r="E1052" s="1405"/>
      <c r="F1052" s="1405"/>
      <c r="G1052" s="1405"/>
      <c r="H1052" s="1405"/>
      <c r="I1052" s="1405"/>
      <c r="J1052" s="1405"/>
      <c r="K1052" s="1405"/>
      <c r="L1052" s="1405"/>
      <c r="M1052" s="1405"/>
      <c r="S1052" s="1731"/>
    </row>
    <row r="1053" spans="1:19" x14ac:dyDescent="0.2">
      <c r="A1053" s="1402"/>
      <c r="B1053" s="1405"/>
      <c r="C1053" s="1407"/>
      <c r="D1053" s="1405"/>
      <c r="E1053" s="1405"/>
      <c r="F1053" s="1405"/>
      <c r="G1053" s="1405"/>
      <c r="H1053" s="1405"/>
      <c r="I1053" s="1405"/>
      <c r="J1053" s="1405"/>
      <c r="K1053" s="1405"/>
      <c r="L1053" s="1405"/>
      <c r="M1053" s="1405"/>
      <c r="S1053" s="1731"/>
    </row>
    <row r="1054" spans="1:19" x14ac:dyDescent="0.2">
      <c r="A1054" s="1402"/>
      <c r="B1054" s="1405"/>
      <c r="C1054" s="1407"/>
      <c r="D1054" s="1405"/>
      <c r="E1054" s="1405"/>
      <c r="F1054" s="1405"/>
      <c r="G1054" s="1405"/>
      <c r="H1054" s="1405"/>
      <c r="I1054" s="1405"/>
      <c r="J1054" s="1405"/>
      <c r="K1054" s="1405"/>
      <c r="L1054" s="1405"/>
      <c r="M1054" s="1405"/>
      <c r="S1054" s="1731"/>
    </row>
    <row r="1055" spans="1:19" x14ac:dyDescent="0.2">
      <c r="A1055" s="1402"/>
      <c r="B1055" s="1405"/>
      <c r="C1055" s="1407"/>
      <c r="D1055" s="1405"/>
      <c r="E1055" s="1405"/>
      <c r="F1055" s="1405"/>
      <c r="G1055" s="1405"/>
      <c r="H1055" s="1405"/>
      <c r="I1055" s="1405"/>
      <c r="J1055" s="1405"/>
      <c r="K1055" s="1405"/>
      <c r="L1055" s="1405"/>
      <c r="M1055" s="1405"/>
      <c r="S1055" s="1731"/>
    </row>
    <row r="1056" spans="1:19" x14ac:dyDescent="0.2">
      <c r="A1056" s="1402"/>
      <c r="B1056" s="1405"/>
      <c r="C1056" s="1407"/>
      <c r="D1056" s="1405"/>
      <c r="E1056" s="1405"/>
      <c r="F1056" s="1405"/>
      <c r="G1056" s="1405"/>
      <c r="H1056" s="1405"/>
      <c r="I1056" s="1405"/>
      <c r="J1056" s="1405"/>
      <c r="K1056" s="1405"/>
      <c r="L1056" s="1405"/>
      <c r="M1056" s="1405"/>
      <c r="S1056" s="1731"/>
    </row>
    <row r="1057" spans="1:19" x14ac:dyDescent="0.2">
      <c r="A1057" s="1402"/>
      <c r="B1057" s="1405"/>
      <c r="C1057" s="1407"/>
      <c r="D1057" s="1405"/>
      <c r="E1057" s="1405"/>
      <c r="F1057" s="1405"/>
      <c r="G1057" s="1405"/>
      <c r="H1057" s="1405"/>
      <c r="I1057" s="1405"/>
      <c r="J1057" s="1405"/>
      <c r="K1057" s="1405"/>
      <c r="L1057" s="1405"/>
      <c r="M1057" s="1405"/>
      <c r="S1057" s="1731"/>
    </row>
    <row r="1058" spans="1:19" x14ac:dyDescent="0.2">
      <c r="A1058" s="1402"/>
      <c r="B1058" s="1405"/>
      <c r="C1058" s="1407"/>
      <c r="D1058" s="1405"/>
      <c r="E1058" s="1405"/>
      <c r="F1058" s="1405"/>
      <c r="G1058" s="1405"/>
      <c r="H1058" s="1405"/>
      <c r="I1058" s="1405"/>
      <c r="J1058" s="1405"/>
      <c r="K1058" s="1405"/>
      <c r="L1058" s="1405"/>
      <c r="M1058" s="1405"/>
      <c r="S1058" s="1731"/>
    </row>
    <row r="1059" spans="1:19" x14ac:dyDescent="0.2">
      <c r="A1059" s="1402"/>
      <c r="B1059" s="1405"/>
      <c r="C1059" s="1407"/>
      <c r="D1059" s="1405"/>
      <c r="E1059" s="1405"/>
      <c r="F1059" s="1405"/>
      <c r="G1059" s="1405"/>
      <c r="H1059" s="1405"/>
      <c r="I1059" s="1405"/>
      <c r="J1059" s="1405"/>
      <c r="K1059" s="1405"/>
      <c r="L1059" s="1405"/>
      <c r="M1059" s="1405"/>
      <c r="S1059" s="1731"/>
    </row>
    <row r="1060" spans="1:19" x14ac:dyDescent="0.2">
      <c r="A1060" s="1402"/>
      <c r="B1060" s="1405"/>
      <c r="C1060" s="1407"/>
      <c r="D1060" s="1405"/>
      <c r="E1060" s="1405"/>
      <c r="F1060" s="1405"/>
      <c r="G1060" s="1405"/>
      <c r="H1060" s="1405"/>
      <c r="I1060" s="1405"/>
      <c r="J1060" s="1405"/>
      <c r="K1060" s="1405"/>
      <c r="L1060" s="1405"/>
      <c r="M1060" s="1405"/>
      <c r="S1060" s="1731"/>
    </row>
    <row r="1061" spans="1:19" x14ac:dyDescent="0.2">
      <c r="A1061" s="1402"/>
      <c r="B1061" s="1405"/>
      <c r="C1061" s="1407"/>
      <c r="D1061" s="1405"/>
      <c r="E1061" s="1405"/>
      <c r="F1061" s="1405"/>
      <c r="G1061" s="1405"/>
      <c r="H1061" s="1405"/>
      <c r="I1061" s="1405"/>
      <c r="J1061" s="1405"/>
      <c r="K1061" s="1405"/>
      <c r="L1061" s="1405"/>
      <c r="M1061" s="1405"/>
      <c r="S1061" s="1731"/>
    </row>
    <row r="1062" spans="1:19" x14ac:dyDescent="0.2">
      <c r="A1062" s="1402"/>
      <c r="B1062" s="1405"/>
      <c r="C1062" s="1407"/>
      <c r="D1062" s="1405"/>
      <c r="E1062" s="1405"/>
      <c r="F1062" s="1405"/>
      <c r="G1062" s="1405"/>
      <c r="H1062" s="1405"/>
      <c r="I1062" s="1405"/>
      <c r="J1062" s="1405"/>
      <c r="K1062" s="1405"/>
      <c r="L1062" s="1405"/>
      <c r="M1062" s="1405"/>
      <c r="S1062" s="1731"/>
    </row>
    <row r="1063" spans="1:19" x14ac:dyDescent="0.2">
      <c r="A1063" s="1402"/>
      <c r="B1063" s="1405"/>
      <c r="C1063" s="1407"/>
      <c r="D1063" s="1405"/>
      <c r="E1063" s="1405"/>
      <c r="F1063" s="1405"/>
      <c r="G1063" s="1405"/>
      <c r="H1063" s="1405"/>
      <c r="I1063" s="1405"/>
      <c r="J1063" s="1405"/>
      <c r="K1063" s="1405"/>
      <c r="L1063" s="1405"/>
      <c r="M1063" s="1405"/>
      <c r="S1063" s="1731"/>
    </row>
    <row r="1064" spans="1:19" x14ac:dyDescent="0.2">
      <c r="A1064" s="1402"/>
      <c r="B1064" s="1405"/>
      <c r="C1064" s="1407"/>
      <c r="D1064" s="1405"/>
      <c r="E1064" s="1405"/>
      <c r="F1064" s="1405"/>
      <c r="G1064" s="1405"/>
      <c r="H1064" s="1405"/>
      <c r="I1064" s="1405"/>
      <c r="J1064" s="1405"/>
      <c r="K1064" s="1405"/>
      <c r="L1064" s="1405"/>
      <c r="M1064" s="1405"/>
      <c r="S1064" s="1731"/>
    </row>
    <row r="1065" spans="1:19" x14ac:dyDescent="0.2">
      <c r="A1065" s="1402"/>
      <c r="B1065" s="1405"/>
      <c r="C1065" s="1407"/>
      <c r="D1065" s="1405"/>
      <c r="E1065" s="1405"/>
      <c r="F1065" s="1405"/>
      <c r="G1065" s="1405"/>
      <c r="H1065" s="1405"/>
      <c r="I1065" s="1405"/>
      <c r="J1065" s="1405"/>
      <c r="K1065" s="1405"/>
      <c r="L1065" s="1405"/>
      <c r="M1065" s="1405"/>
      <c r="S1065" s="1731"/>
    </row>
    <row r="1066" spans="1:19" x14ac:dyDescent="0.2">
      <c r="A1066" s="1402"/>
      <c r="B1066" s="1405"/>
      <c r="C1066" s="1407"/>
      <c r="D1066" s="1405"/>
      <c r="E1066" s="1405"/>
      <c r="F1066" s="1405"/>
      <c r="G1066" s="1405"/>
      <c r="H1066" s="1405"/>
      <c r="I1066" s="1405"/>
      <c r="J1066" s="1405"/>
      <c r="K1066" s="1405"/>
      <c r="L1066" s="1405"/>
      <c r="M1066" s="1405"/>
      <c r="S1066" s="1731"/>
    </row>
    <row r="1067" spans="1:19" x14ac:dyDescent="0.2">
      <c r="A1067" s="1402"/>
      <c r="B1067" s="1405"/>
      <c r="C1067" s="1407"/>
      <c r="D1067" s="1405"/>
      <c r="E1067" s="1405"/>
      <c r="F1067" s="1405"/>
      <c r="G1067" s="1405"/>
      <c r="H1067" s="1405"/>
      <c r="I1067" s="1405"/>
      <c r="J1067" s="1405"/>
      <c r="K1067" s="1405"/>
      <c r="L1067" s="1405"/>
      <c r="M1067" s="1405"/>
      <c r="S1067" s="1731"/>
    </row>
    <row r="1068" spans="1:19" x14ac:dyDescent="0.2">
      <c r="A1068" s="1402"/>
      <c r="B1068" s="1405"/>
      <c r="C1068" s="1407"/>
      <c r="D1068" s="1405"/>
      <c r="E1068" s="1405"/>
      <c r="F1068" s="1405"/>
      <c r="G1068" s="1405"/>
      <c r="H1068" s="1405"/>
      <c r="I1068" s="1405"/>
      <c r="J1068" s="1405"/>
      <c r="K1068" s="1405"/>
      <c r="L1068" s="1405"/>
      <c r="M1068" s="1405"/>
      <c r="S1068" s="1731"/>
    </row>
    <row r="1069" spans="1:19" x14ac:dyDescent="0.2">
      <c r="A1069" s="1402"/>
      <c r="B1069" s="1405"/>
      <c r="C1069" s="1407"/>
      <c r="D1069" s="1405"/>
      <c r="E1069" s="1405"/>
      <c r="F1069" s="1405"/>
      <c r="G1069" s="1405"/>
      <c r="H1069" s="1405"/>
      <c r="I1069" s="1405"/>
      <c r="J1069" s="1405"/>
      <c r="K1069" s="1405"/>
      <c r="L1069" s="1405"/>
      <c r="M1069" s="1405"/>
      <c r="S1069" s="1731"/>
    </row>
    <row r="1070" spans="1:19" x14ac:dyDescent="0.2">
      <c r="A1070" s="1402"/>
      <c r="B1070" s="1405"/>
      <c r="C1070" s="1407"/>
      <c r="D1070" s="1405"/>
      <c r="E1070" s="1405"/>
      <c r="F1070" s="1405"/>
      <c r="G1070" s="1405"/>
      <c r="H1070" s="1405"/>
      <c r="I1070" s="1405"/>
      <c r="J1070" s="1405"/>
      <c r="K1070" s="1405"/>
      <c r="L1070" s="1405"/>
      <c r="M1070" s="1405"/>
      <c r="S1070" s="1731"/>
    </row>
    <row r="1071" spans="1:19" x14ac:dyDescent="0.2">
      <c r="A1071" s="1402"/>
      <c r="B1071" s="1405"/>
      <c r="C1071" s="1407"/>
      <c r="D1071" s="1405"/>
      <c r="E1071" s="1405"/>
      <c r="F1071" s="1405"/>
      <c r="G1071" s="1405"/>
      <c r="H1071" s="1405"/>
      <c r="I1071" s="1405"/>
      <c r="J1071" s="1405"/>
      <c r="K1071" s="1405"/>
      <c r="L1071" s="1405"/>
      <c r="M1071" s="1405"/>
      <c r="S1071" s="1731"/>
    </row>
    <row r="1072" spans="1:19" x14ac:dyDescent="0.2">
      <c r="A1072" s="1402"/>
      <c r="B1072" s="1405"/>
      <c r="C1072" s="1407"/>
      <c r="D1072" s="1405"/>
      <c r="E1072" s="1405"/>
      <c r="F1072" s="1405"/>
      <c r="G1072" s="1405"/>
      <c r="H1072" s="1405"/>
      <c r="I1072" s="1405"/>
      <c r="J1072" s="1405"/>
      <c r="K1072" s="1405"/>
      <c r="L1072" s="1405"/>
      <c r="M1072" s="1405"/>
      <c r="S1072" s="1731"/>
    </row>
    <row r="1073" spans="1:19" x14ac:dyDescent="0.2">
      <c r="A1073" s="1402"/>
      <c r="B1073" s="1405"/>
      <c r="C1073" s="1407"/>
      <c r="D1073" s="1405"/>
      <c r="E1073" s="1405"/>
      <c r="F1073" s="1405"/>
      <c r="G1073" s="1405"/>
      <c r="H1073" s="1405"/>
      <c r="I1073" s="1405"/>
      <c r="J1073" s="1405"/>
      <c r="K1073" s="1405"/>
      <c r="L1073" s="1405"/>
      <c r="M1073" s="1405"/>
      <c r="S1073" s="1731"/>
    </row>
    <row r="1074" spans="1:19" x14ac:dyDescent="0.2">
      <c r="A1074" s="1402"/>
      <c r="B1074" s="1405"/>
      <c r="C1074" s="1407"/>
      <c r="D1074" s="1405"/>
      <c r="E1074" s="1405"/>
      <c r="F1074" s="1405"/>
      <c r="G1074" s="1405"/>
      <c r="H1074" s="1405"/>
      <c r="I1074" s="1405"/>
      <c r="J1074" s="1405"/>
      <c r="K1074" s="1405"/>
      <c r="L1074" s="1405"/>
      <c r="M1074" s="1405"/>
      <c r="S1074" s="1731"/>
    </row>
    <row r="1075" spans="1:19" x14ac:dyDescent="0.2">
      <c r="A1075" s="1402"/>
      <c r="B1075" s="1405"/>
      <c r="C1075" s="1407"/>
      <c r="D1075" s="1405"/>
      <c r="E1075" s="1405"/>
      <c r="F1075" s="1405"/>
      <c r="G1075" s="1405"/>
      <c r="H1075" s="1405"/>
      <c r="I1075" s="1405"/>
      <c r="J1075" s="1405"/>
      <c r="K1075" s="1405"/>
      <c r="L1075" s="1405"/>
      <c r="M1075" s="1405"/>
      <c r="S1075" s="1731"/>
    </row>
    <row r="1076" spans="1:19" x14ac:dyDescent="0.2">
      <c r="A1076" s="1402"/>
      <c r="B1076" s="1405"/>
      <c r="C1076" s="1407"/>
      <c r="D1076" s="1405"/>
      <c r="E1076" s="1405"/>
      <c r="F1076" s="1405"/>
      <c r="G1076" s="1405"/>
      <c r="H1076" s="1405"/>
      <c r="I1076" s="1405"/>
      <c r="J1076" s="1405"/>
      <c r="K1076" s="1405"/>
      <c r="L1076" s="1405"/>
      <c r="M1076" s="1405"/>
      <c r="S1076" s="1731"/>
    </row>
    <row r="1077" spans="1:19" x14ac:dyDescent="0.2">
      <c r="A1077" s="1402"/>
      <c r="B1077" s="1405"/>
      <c r="C1077" s="1407"/>
      <c r="D1077" s="1405"/>
      <c r="E1077" s="1405"/>
      <c r="F1077" s="1405"/>
      <c r="G1077" s="1405"/>
      <c r="H1077" s="1405"/>
      <c r="I1077" s="1405"/>
      <c r="J1077" s="1405"/>
      <c r="K1077" s="1405"/>
      <c r="L1077" s="1405"/>
      <c r="M1077" s="1405"/>
      <c r="S1077" s="1731"/>
    </row>
    <row r="1078" spans="1:19" x14ac:dyDescent="0.2">
      <c r="A1078" s="1402"/>
      <c r="B1078" s="1405"/>
      <c r="C1078" s="1407"/>
      <c r="D1078" s="1405"/>
      <c r="E1078" s="1405"/>
      <c r="F1078" s="1405"/>
      <c r="G1078" s="1405"/>
      <c r="H1078" s="1405"/>
      <c r="I1078" s="1405"/>
      <c r="J1078" s="1405"/>
      <c r="K1078" s="1405"/>
      <c r="L1078" s="1405"/>
      <c r="M1078" s="1405"/>
      <c r="S1078" s="1731"/>
    </row>
    <row r="1079" spans="1:19" x14ac:dyDescent="0.2">
      <c r="A1079" s="1402"/>
      <c r="B1079" s="1405"/>
      <c r="C1079" s="1407"/>
      <c r="D1079" s="1405"/>
      <c r="E1079" s="1405"/>
      <c r="F1079" s="1405"/>
      <c r="G1079" s="1405"/>
      <c r="H1079" s="1405"/>
      <c r="I1079" s="1405"/>
      <c r="J1079" s="1405"/>
      <c r="K1079" s="1405"/>
      <c r="L1079" s="1405"/>
      <c r="M1079" s="1405"/>
      <c r="S1079" s="1731"/>
    </row>
    <row r="1080" spans="1:19" x14ac:dyDescent="0.2">
      <c r="A1080" s="1402"/>
      <c r="B1080" s="1405"/>
      <c r="C1080" s="1407"/>
      <c r="D1080" s="1405"/>
      <c r="E1080" s="1405"/>
      <c r="F1080" s="1405"/>
      <c r="G1080" s="1405"/>
      <c r="H1080" s="1405"/>
      <c r="I1080" s="1405"/>
      <c r="J1080" s="1405"/>
      <c r="K1080" s="1405"/>
      <c r="L1080" s="1405"/>
      <c r="M1080" s="1405"/>
      <c r="S1080" s="1731"/>
    </row>
    <row r="1081" spans="1:19" x14ac:dyDescent="0.2">
      <c r="A1081" s="1402"/>
      <c r="B1081" s="1405"/>
      <c r="C1081" s="1407"/>
      <c r="D1081" s="1405"/>
      <c r="E1081" s="1405"/>
      <c r="F1081" s="1405"/>
      <c r="G1081" s="1405"/>
      <c r="H1081" s="1405"/>
      <c r="I1081" s="1405"/>
      <c r="J1081" s="1405"/>
      <c r="K1081" s="1405"/>
      <c r="L1081" s="1405"/>
      <c r="M1081" s="1405"/>
      <c r="S1081" s="1731"/>
    </row>
    <row r="1082" spans="1:19" x14ac:dyDescent="0.2">
      <c r="A1082" s="1402"/>
      <c r="B1082" s="1405"/>
      <c r="C1082" s="1407"/>
      <c r="D1082" s="1405"/>
      <c r="E1082" s="1405"/>
      <c r="F1082" s="1405"/>
      <c r="G1082" s="1405"/>
      <c r="H1082" s="1405"/>
      <c r="I1082" s="1405"/>
      <c r="J1082" s="1405"/>
      <c r="K1082" s="1405"/>
      <c r="L1082" s="1405"/>
      <c r="M1082" s="1405"/>
      <c r="S1082" s="1731"/>
    </row>
    <row r="1083" spans="1:19" x14ac:dyDescent="0.2">
      <c r="A1083" s="1402"/>
      <c r="B1083" s="1405"/>
      <c r="C1083" s="1407"/>
      <c r="D1083" s="1405"/>
      <c r="E1083" s="1405"/>
      <c r="F1083" s="1405"/>
      <c r="G1083" s="1405"/>
      <c r="H1083" s="1405"/>
      <c r="I1083" s="1405"/>
      <c r="J1083" s="1405"/>
      <c r="K1083" s="1405"/>
      <c r="L1083" s="1405"/>
      <c r="M1083" s="1405"/>
      <c r="S1083" s="1731"/>
    </row>
    <row r="1084" spans="1:19" x14ac:dyDescent="0.2">
      <c r="A1084" s="1402"/>
      <c r="B1084" s="1405"/>
      <c r="C1084" s="1407"/>
      <c r="D1084" s="1405"/>
      <c r="E1084" s="1405"/>
      <c r="F1084" s="1405"/>
      <c r="G1084" s="1405"/>
      <c r="H1084" s="1405"/>
      <c r="I1084" s="1405"/>
      <c r="J1084" s="1405"/>
      <c r="K1084" s="1405"/>
      <c r="L1084" s="1405"/>
      <c r="M1084" s="1405"/>
      <c r="S1084" s="1731"/>
    </row>
    <row r="1085" spans="1:19" x14ac:dyDescent="0.2">
      <c r="A1085" s="1402"/>
      <c r="B1085" s="1405"/>
      <c r="C1085" s="1407"/>
      <c r="D1085" s="1405"/>
      <c r="E1085" s="1405"/>
      <c r="F1085" s="1405"/>
      <c r="G1085" s="1405"/>
      <c r="H1085" s="1405"/>
      <c r="I1085" s="1405"/>
      <c r="J1085" s="1405"/>
      <c r="K1085" s="1405"/>
      <c r="L1085" s="1405"/>
      <c r="M1085" s="1405"/>
      <c r="S1085" s="1731"/>
    </row>
    <row r="1086" spans="1:19" x14ac:dyDescent="0.2">
      <c r="A1086" s="1402"/>
      <c r="B1086" s="1405"/>
      <c r="C1086" s="1407"/>
      <c r="D1086" s="1405"/>
      <c r="E1086" s="1405"/>
      <c r="F1086" s="1405"/>
      <c r="G1086" s="1405"/>
      <c r="H1086" s="1405"/>
      <c r="I1086" s="1405"/>
      <c r="J1086" s="1405"/>
      <c r="K1086" s="1405"/>
      <c r="L1086" s="1405"/>
      <c r="M1086" s="1405"/>
      <c r="S1086" s="1731"/>
    </row>
    <row r="1087" spans="1:19" x14ac:dyDescent="0.2">
      <c r="A1087" s="1402"/>
      <c r="B1087" s="1405"/>
      <c r="C1087" s="1407"/>
      <c r="D1087" s="1405"/>
      <c r="E1087" s="1405"/>
      <c r="F1087" s="1405"/>
      <c r="G1087" s="1405"/>
      <c r="H1087" s="1405"/>
      <c r="I1087" s="1405"/>
      <c r="J1087" s="1405"/>
      <c r="K1087" s="1405"/>
      <c r="L1087" s="1405"/>
      <c r="M1087" s="1405"/>
      <c r="S1087" s="1731"/>
    </row>
    <row r="1088" spans="1:19" x14ac:dyDescent="0.2">
      <c r="A1088" s="1402"/>
      <c r="B1088" s="1405"/>
      <c r="C1088" s="1407"/>
      <c r="D1088" s="1405"/>
      <c r="E1088" s="1405"/>
      <c r="F1088" s="1405"/>
      <c r="G1088" s="1405"/>
      <c r="H1088" s="1405"/>
      <c r="I1088" s="1405"/>
      <c r="J1088" s="1405"/>
      <c r="K1088" s="1405"/>
      <c r="L1088" s="1405"/>
      <c r="M1088" s="1405"/>
      <c r="S1088" s="1731"/>
    </row>
    <row r="1089" spans="1:19" x14ac:dyDescent="0.2">
      <c r="A1089" s="1402"/>
      <c r="B1089" s="1405"/>
      <c r="C1089" s="1407"/>
      <c r="D1089" s="1405"/>
      <c r="E1089" s="1405"/>
      <c r="F1089" s="1405"/>
      <c r="G1089" s="1405"/>
      <c r="H1089" s="1405"/>
      <c r="I1089" s="1405"/>
      <c r="J1089" s="1405"/>
      <c r="K1089" s="1405"/>
      <c r="L1089" s="1405"/>
      <c r="M1089" s="1405"/>
      <c r="S1089" s="1731"/>
    </row>
    <row r="1090" spans="1:19" x14ac:dyDescent="0.2">
      <c r="A1090" s="1402"/>
      <c r="B1090" s="1405"/>
      <c r="C1090" s="1407"/>
      <c r="D1090" s="1405"/>
      <c r="E1090" s="1405"/>
      <c r="F1090" s="1405"/>
      <c r="G1090" s="1405"/>
      <c r="H1090" s="1405"/>
      <c r="I1090" s="1405"/>
      <c r="J1090" s="1405"/>
      <c r="K1090" s="1405"/>
      <c r="L1090" s="1405"/>
      <c r="M1090" s="1405"/>
      <c r="S1090" s="1731"/>
    </row>
    <row r="1091" spans="1:19" x14ac:dyDescent="0.2">
      <c r="A1091" s="1402"/>
      <c r="B1091" s="1405"/>
      <c r="C1091" s="1407"/>
      <c r="D1091" s="1405"/>
      <c r="E1091" s="1405"/>
      <c r="F1091" s="1405"/>
      <c r="G1091" s="1405"/>
      <c r="H1091" s="1405"/>
      <c r="I1091" s="1405"/>
      <c r="J1091" s="1405"/>
      <c r="K1091" s="1405"/>
      <c r="L1091" s="1405"/>
      <c r="M1091" s="1405"/>
      <c r="S1091" s="1731"/>
    </row>
    <row r="1092" spans="1:19" x14ac:dyDescent="0.2">
      <c r="A1092" s="1402"/>
      <c r="B1092" s="1405"/>
      <c r="C1092" s="1407"/>
      <c r="D1092" s="1405"/>
      <c r="E1092" s="1405"/>
      <c r="F1092" s="1405"/>
      <c r="G1092" s="1405"/>
      <c r="H1092" s="1405"/>
      <c r="I1092" s="1405"/>
      <c r="J1092" s="1405"/>
      <c r="K1092" s="1405"/>
      <c r="L1092" s="1405"/>
      <c r="M1092" s="1405"/>
      <c r="S1092" s="1731"/>
    </row>
    <row r="1093" spans="1:19" x14ac:dyDescent="0.2">
      <c r="A1093" s="1402"/>
      <c r="B1093" s="1405"/>
      <c r="C1093" s="1407"/>
      <c r="D1093" s="1405"/>
      <c r="E1093" s="1405"/>
      <c r="F1093" s="1405"/>
      <c r="G1093" s="1405"/>
      <c r="H1093" s="1405"/>
      <c r="I1093" s="1405"/>
      <c r="J1093" s="1405"/>
      <c r="K1093" s="1405"/>
      <c r="L1093" s="1405"/>
      <c r="M1093" s="1405"/>
      <c r="S1093" s="1731"/>
    </row>
    <row r="1094" spans="1:19" x14ac:dyDescent="0.2">
      <c r="A1094" s="1402"/>
      <c r="B1094" s="1405"/>
      <c r="C1094" s="1407"/>
      <c r="D1094" s="1405"/>
      <c r="E1094" s="1405"/>
      <c r="F1094" s="1405"/>
      <c r="G1094" s="1405"/>
      <c r="H1094" s="1405"/>
      <c r="I1094" s="1405"/>
      <c r="J1094" s="1405"/>
      <c r="K1094" s="1405"/>
      <c r="L1094" s="1405"/>
      <c r="M1094" s="1405"/>
      <c r="S1094" s="1731"/>
    </row>
    <row r="1095" spans="1:19" x14ac:dyDescent="0.2">
      <c r="A1095" s="1402"/>
      <c r="B1095" s="1405"/>
      <c r="C1095" s="1407"/>
      <c r="D1095" s="1405"/>
      <c r="E1095" s="1405"/>
      <c r="F1095" s="1405"/>
      <c r="G1095" s="1405"/>
      <c r="H1095" s="1405"/>
      <c r="I1095" s="1405"/>
      <c r="J1095" s="1405"/>
      <c r="K1095" s="1405"/>
      <c r="L1095" s="1405"/>
      <c r="M1095" s="1405"/>
      <c r="S1095" s="1731"/>
    </row>
    <row r="1096" spans="1:19" x14ac:dyDescent="0.2">
      <c r="A1096" s="1402"/>
      <c r="B1096" s="1405"/>
      <c r="C1096" s="1407"/>
      <c r="D1096" s="1405"/>
      <c r="E1096" s="1405"/>
      <c r="F1096" s="1405"/>
      <c r="G1096" s="1405"/>
      <c r="H1096" s="1405"/>
      <c r="I1096" s="1405"/>
      <c r="J1096" s="1405"/>
      <c r="K1096" s="1405"/>
      <c r="L1096" s="1405"/>
      <c r="M1096" s="1405"/>
      <c r="S1096" s="1731"/>
    </row>
    <row r="1097" spans="1:19" x14ac:dyDescent="0.2">
      <c r="A1097" s="1402"/>
      <c r="B1097" s="1405"/>
      <c r="C1097" s="1407"/>
      <c r="D1097" s="1405"/>
      <c r="E1097" s="1405"/>
      <c r="F1097" s="1405"/>
      <c r="G1097" s="1405"/>
      <c r="H1097" s="1405"/>
      <c r="I1097" s="1405"/>
      <c r="J1097" s="1405"/>
      <c r="K1097" s="1405"/>
      <c r="L1097" s="1405"/>
      <c r="M1097" s="1405"/>
      <c r="S1097" s="1731"/>
    </row>
    <row r="1098" spans="1:19" x14ac:dyDescent="0.2">
      <c r="A1098" s="1402"/>
      <c r="B1098" s="1405"/>
      <c r="C1098" s="1407"/>
      <c r="D1098" s="1405"/>
      <c r="E1098" s="1405"/>
      <c r="F1098" s="1405"/>
      <c r="G1098" s="1405"/>
      <c r="H1098" s="1405"/>
      <c r="I1098" s="1405"/>
      <c r="J1098" s="1405"/>
      <c r="K1098" s="1405"/>
      <c r="L1098" s="1405"/>
      <c r="M1098" s="1405"/>
      <c r="S1098" s="1731"/>
    </row>
    <row r="1099" spans="1:19" x14ac:dyDescent="0.2">
      <c r="A1099" s="1402"/>
      <c r="B1099" s="1405"/>
      <c r="C1099" s="1407"/>
      <c r="D1099" s="1405"/>
      <c r="E1099" s="1405"/>
      <c r="F1099" s="1405"/>
      <c r="G1099" s="1405"/>
      <c r="H1099" s="1405"/>
      <c r="I1099" s="1405"/>
      <c r="J1099" s="1405"/>
      <c r="K1099" s="1405"/>
      <c r="L1099" s="1405"/>
      <c r="M1099" s="1405"/>
      <c r="S1099" s="1731"/>
    </row>
    <row r="1100" spans="1:19" x14ac:dyDescent="0.2">
      <c r="A1100" s="1402"/>
      <c r="B1100" s="1405"/>
      <c r="C1100" s="1407"/>
      <c r="D1100" s="1405"/>
      <c r="E1100" s="1405"/>
      <c r="F1100" s="1405"/>
      <c r="G1100" s="1405"/>
      <c r="H1100" s="1405"/>
      <c r="I1100" s="1405"/>
      <c r="J1100" s="1405"/>
      <c r="K1100" s="1405"/>
      <c r="L1100" s="1405"/>
      <c r="M1100" s="1405"/>
      <c r="S1100" s="1731"/>
    </row>
    <row r="1101" spans="1:19" x14ac:dyDescent="0.2">
      <c r="A1101" s="1402"/>
      <c r="B1101" s="1405"/>
      <c r="C1101" s="1407"/>
      <c r="D1101" s="1405"/>
      <c r="E1101" s="1405"/>
      <c r="F1101" s="1405"/>
      <c r="G1101" s="1405"/>
      <c r="H1101" s="1405"/>
      <c r="I1101" s="1405"/>
      <c r="J1101" s="1405"/>
      <c r="K1101" s="1405"/>
      <c r="L1101" s="1405"/>
      <c r="M1101" s="1405"/>
      <c r="S1101" s="1731"/>
    </row>
    <row r="1102" spans="1:19" x14ac:dyDescent="0.2">
      <c r="A1102" s="1402"/>
      <c r="B1102" s="1405"/>
      <c r="C1102" s="1407"/>
      <c r="D1102" s="1405"/>
      <c r="E1102" s="1405"/>
      <c r="F1102" s="1405"/>
      <c r="G1102" s="1405"/>
      <c r="H1102" s="1405"/>
      <c r="I1102" s="1405"/>
      <c r="J1102" s="1405"/>
      <c r="K1102" s="1405"/>
      <c r="L1102" s="1405"/>
      <c r="M1102" s="1405"/>
      <c r="S1102" s="1731"/>
    </row>
    <row r="1103" spans="1:19" x14ac:dyDescent="0.2">
      <c r="A1103" s="1402"/>
      <c r="B1103" s="1405"/>
      <c r="C1103" s="1407"/>
      <c r="D1103" s="1405"/>
      <c r="E1103" s="1405"/>
      <c r="F1103" s="1405"/>
      <c r="G1103" s="1405"/>
      <c r="H1103" s="1405"/>
      <c r="I1103" s="1405"/>
      <c r="J1103" s="1405"/>
      <c r="K1103" s="1405"/>
      <c r="L1103" s="1405"/>
      <c r="M1103" s="1405"/>
      <c r="S1103" s="1731"/>
    </row>
    <row r="1104" spans="1:19" x14ac:dyDescent="0.2">
      <c r="A1104" s="1402"/>
      <c r="B1104" s="1405"/>
      <c r="C1104" s="1407"/>
      <c r="D1104" s="1405"/>
      <c r="E1104" s="1405"/>
      <c r="F1104" s="1405"/>
      <c r="G1104" s="1405"/>
      <c r="H1104" s="1405"/>
      <c r="I1104" s="1405"/>
      <c r="J1104" s="1405"/>
      <c r="K1104" s="1405"/>
      <c r="L1104" s="1405"/>
      <c r="M1104" s="1405"/>
      <c r="S1104" s="1731"/>
    </row>
    <row r="1105" spans="1:19" x14ac:dyDescent="0.2">
      <c r="A1105" s="1402"/>
      <c r="B1105" s="1405"/>
      <c r="C1105" s="1407"/>
      <c r="D1105" s="1405"/>
      <c r="E1105" s="1405"/>
      <c r="F1105" s="1405"/>
      <c r="G1105" s="1405"/>
      <c r="H1105" s="1405"/>
      <c r="I1105" s="1405"/>
      <c r="J1105" s="1405"/>
      <c r="K1105" s="1405"/>
      <c r="L1105" s="1405"/>
      <c r="M1105" s="1405"/>
      <c r="S1105" s="1731"/>
    </row>
    <row r="1106" spans="1:19" x14ac:dyDescent="0.2">
      <c r="A1106" s="1402"/>
      <c r="B1106" s="1405"/>
      <c r="C1106" s="1407"/>
      <c r="D1106" s="1405"/>
      <c r="E1106" s="1405"/>
      <c r="F1106" s="1405"/>
      <c r="G1106" s="1405"/>
      <c r="H1106" s="1405"/>
      <c r="I1106" s="1405"/>
      <c r="J1106" s="1405"/>
      <c r="K1106" s="1405"/>
      <c r="L1106" s="1405"/>
      <c r="M1106" s="1405"/>
      <c r="S1106" s="1731"/>
    </row>
    <row r="1107" spans="1:19" x14ac:dyDescent="0.2">
      <c r="A1107" s="1402"/>
      <c r="B1107" s="1405"/>
      <c r="C1107" s="1407"/>
      <c r="D1107" s="1405"/>
      <c r="E1107" s="1405"/>
      <c r="F1107" s="1405"/>
      <c r="G1107" s="1405"/>
      <c r="H1107" s="1405"/>
      <c r="I1107" s="1405"/>
      <c r="J1107" s="1405"/>
      <c r="K1107" s="1405"/>
      <c r="L1107" s="1405"/>
      <c r="M1107" s="1405"/>
      <c r="S1107" s="1731"/>
    </row>
    <row r="1108" spans="1:19" x14ac:dyDescent="0.2">
      <c r="A1108" s="1402"/>
      <c r="B1108" s="1405"/>
      <c r="C1108" s="1407"/>
      <c r="D1108" s="1405"/>
      <c r="E1108" s="1405"/>
      <c r="F1108" s="1405"/>
      <c r="G1108" s="1405"/>
      <c r="H1108" s="1405"/>
      <c r="I1108" s="1405"/>
      <c r="J1108" s="1405"/>
      <c r="K1108" s="1405"/>
      <c r="L1108" s="1405"/>
      <c r="M1108" s="1405"/>
      <c r="S1108" s="1731"/>
    </row>
    <row r="1109" spans="1:19" x14ac:dyDescent="0.2">
      <c r="A1109" s="1402"/>
      <c r="B1109" s="1405"/>
      <c r="C1109" s="1407"/>
      <c r="D1109" s="1405"/>
      <c r="E1109" s="1405"/>
      <c r="F1109" s="1405"/>
      <c r="G1109" s="1405"/>
      <c r="H1109" s="1405"/>
      <c r="I1109" s="1405"/>
      <c r="J1109" s="1405"/>
      <c r="K1109" s="1405"/>
      <c r="L1109" s="1405"/>
      <c r="M1109" s="1405"/>
      <c r="S1109" s="1731"/>
    </row>
    <row r="1110" spans="1:19" x14ac:dyDescent="0.2">
      <c r="A1110" s="1402"/>
      <c r="B1110" s="1405"/>
      <c r="C1110" s="1407"/>
      <c r="D1110" s="1405"/>
      <c r="E1110" s="1405"/>
      <c r="F1110" s="1405"/>
      <c r="G1110" s="1405"/>
      <c r="H1110" s="1405"/>
      <c r="I1110" s="1405"/>
      <c r="J1110" s="1405"/>
      <c r="K1110" s="1405"/>
      <c r="L1110" s="1405"/>
      <c r="M1110" s="1405"/>
      <c r="S1110" s="1731"/>
    </row>
    <row r="1111" spans="1:19" x14ac:dyDescent="0.2">
      <c r="A1111" s="1402"/>
      <c r="B1111" s="1405"/>
      <c r="C1111" s="1407"/>
      <c r="D1111" s="1405"/>
      <c r="E1111" s="1405"/>
      <c r="F1111" s="1405"/>
      <c r="G1111" s="1405"/>
      <c r="H1111" s="1405"/>
      <c r="I1111" s="1405"/>
      <c r="J1111" s="1405"/>
      <c r="K1111" s="1405"/>
      <c r="L1111" s="1405"/>
      <c r="M1111" s="1405"/>
      <c r="S1111" s="1731"/>
    </row>
    <row r="1112" spans="1:19" x14ac:dyDescent="0.2">
      <c r="A1112" s="1402"/>
      <c r="B1112" s="1405"/>
      <c r="C1112" s="1407"/>
      <c r="D1112" s="1405"/>
      <c r="E1112" s="1405"/>
      <c r="F1112" s="1405"/>
      <c r="G1112" s="1405"/>
      <c r="H1112" s="1405"/>
      <c r="I1112" s="1405"/>
      <c r="J1112" s="1405"/>
      <c r="K1112" s="1405"/>
      <c r="L1112" s="1405"/>
      <c r="M1112" s="1405"/>
      <c r="S1112" s="1731"/>
    </row>
    <row r="1113" spans="1:19" x14ac:dyDescent="0.2">
      <c r="A1113" s="1402"/>
      <c r="B1113" s="1405"/>
      <c r="C1113" s="1407"/>
      <c r="D1113" s="1405"/>
      <c r="E1113" s="1405"/>
      <c r="F1113" s="1405"/>
      <c r="G1113" s="1405"/>
      <c r="H1113" s="1405"/>
      <c r="I1113" s="1405"/>
      <c r="J1113" s="1405"/>
      <c r="K1113" s="1405"/>
      <c r="L1113" s="1405"/>
      <c r="M1113" s="1405"/>
      <c r="S1113" s="1731"/>
    </row>
    <row r="1114" spans="1:19" x14ac:dyDescent="0.2">
      <c r="A1114" s="1402"/>
      <c r="B1114" s="1405"/>
      <c r="C1114" s="1407"/>
      <c r="D1114" s="1405"/>
      <c r="E1114" s="1405"/>
      <c r="F1114" s="1405"/>
      <c r="G1114" s="1405"/>
      <c r="H1114" s="1405"/>
      <c r="I1114" s="1405"/>
      <c r="J1114" s="1405"/>
      <c r="K1114" s="1405"/>
      <c r="L1114" s="1405"/>
      <c r="M1114" s="1405"/>
      <c r="S1114" s="1731"/>
    </row>
    <row r="1115" spans="1:19" x14ac:dyDescent="0.2">
      <c r="A1115" s="1402"/>
      <c r="B1115" s="1405"/>
      <c r="C1115" s="1407"/>
      <c r="D1115" s="1405"/>
      <c r="E1115" s="1405"/>
      <c r="F1115" s="1405"/>
      <c r="G1115" s="1405"/>
      <c r="H1115" s="1405"/>
      <c r="I1115" s="1405"/>
      <c r="J1115" s="1405"/>
      <c r="K1115" s="1405"/>
      <c r="L1115" s="1405"/>
      <c r="M1115" s="1405"/>
      <c r="S1115" s="1731"/>
    </row>
    <row r="1116" spans="1:19" x14ac:dyDescent="0.2">
      <c r="A1116" s="1402"/>
      <c r="B1116" s="1405"/>
      <c r="C1116" s="1407"/>
      <c r="D1116" s="1405"/>
      <c r="E1116" s="1405"/>
      <c r="F1116" s="1405"/>
      <c r="G1116" s="1405"/>
      <c r="H1116" s="1405"/>
      <c r="I1116" s="1405"/>
      <c r="J1116" s="1405"/>
      <c r="K1116" s="1405"/>
      <c r="L1116" s="1405"/>
      <c r="M1116" s="1405"/>
      <c r="S1116" s="1731"/>
    </row>
    <row r="1117" spans="1:19" x14ac:dyDescent="0.2">
      <c r="A1117" s="1402"/>
      <c r="B1117" s="1405"/>
      <c r="C1117" s="1407"/>
      <c r="D1117" s="1405"/>
      <c r="E1117" s="1405"/>
      <c r="F1117" s="1405"/>
      <c r="G1117" s="1405"/>
      <c r="H1117" s="1405"/>
      <c r="I1117" s="1405"/>
      <c r="J1117" s="1405"/>
      <c r="K1117" s="1405"/>
      <c r="L1117" s="1405"/>
      <c r="M1117" s="1405"/>
      <c r="S1117" s="1731"/>
    </row>
    <row r="1118" spans="1:19" x14ac:dyDescent="0.2">
      <c r="A1118" s="1402"/>
      <c r="B1118" s="1405"/>
      <c r="C1118" s="1407"/>
      <c r="D1118" s="1405"/>
      <c r="E1118" s="1405"/>
      <c r="F1118" s="1405"/>
      <c r="G1118" s="1405"/>
      <c r="H1118" s="1405"/>
      <c r="I1118" s="1405"/>
      <c r="J1118" s="1405"/>
      <c r="K1118" s="1405"/>
      <c r="L1118" s="1405"/>
      <c r="M1118" s="1405"/>
      <c r="S1118" s="1731"/>
    </row>
    <row r="1119" spans="1:19" x14ac:dyDescent="0.2">
      <c r="A1119" s="1402"/>
      <c r="B1119" s="1405"/>
      <c r="C1119" s="1407"/>
      <c r="D1119" s="1405"/>
      <c r="E1119" s="1405"/>
      <c r="F1119" s="1405"/>
      <c r="G1119" s="1405"/>
      <c r="H1119" s="1405"/>
      <c r="I1119" s="1405"/>
      <c r="J1119" s="1405"/>
      <c r="K1119" s="1405"/>
      <c r="L1119" s="1405"/>
      <c r="M1119" s="1405"/>
      <c r="S1119" s="1731"/>
    </row>
    <row r="1120" spans="1:19" x14ac:dyDescent="0.2">
      <c r="A1120" s="1402"/>
      <c r="B1120" s="1405"/>
      <c r="C1120" s="1407"/>
      <c r="D1120" s="1405"/>
      <c r="E1120" s="1405"/>
      <c r="F1120" s="1405"/>
      <c r="G1120" s="1405"/>
      <c r="H1120" s="1405"/>
      <c r="I1120" s="1405"/>
      <c r="J1120" s="1405"/>
      <c r="K1120" s="1405"/>
      <c r="L1120" s="1405"/>
      <c r="M1120" s="1405"/>
      <c r="S1120" s="1731"/>
    </row>
    <row r="1121" spans="1:19" x14ac:dyDescent="0.2">
      <c r="A1121" s="1402"/>
      <c r="B1121" s="1405"/>
      <c r="C1121" s="1407"/>
      <c r="D1121" s="1405"/>
      <c r="E1121" s="1405"/>
      <c r="F1121" s="1405"/>
      <c r="G1121" s="1405"/>
      <c r="H1121" s="1405"/>
      <c r="I1121" s="1405"/>
      <c r="J1121" s="1405"/>
      <c r="K1121" s="1405"/>
      <c r="L1121" s="1405"/>
      <c r="M1121" s="1405"/>
      <c r="S1121" s="1731"/>
    </row>
    <row r="1122" spans="1:19" x14ac:dyDescent="0.2">
      <c r="A1122" s="1402"/>
      <c r="B1122" s="1405"/>
      <c r="C1122" s="1407"/>
      <c r="D1122" s="1405"/>
      <c r="E1122" s="1405"/>
      <c r="F1122" s="1405"/>
      <c r="G1122" s="1405"/>
      <c r="H1122" s="1405"/>
      <c r="I1122" s="1405"/>
      <c r="J1122" s="1405"/>
      <c r="K1122" s="1405"/>
      <c r="L1122" s="1405"/>
      <c r="M1122" s="1405"/>
      <c r="S1122" s="1731"/>
    </row>
    <row r="1123" spans="1:19" x14ac:dyDescent="0.2">
      <c r="A1123" s="1402"/>
      <c r="B1123" s="1405"/>
      <c r="C1123" s="1407"/>
      <c r="D1123" s="1405"/>
      <c r="E1123" s="1405"/>
      <c r="F1123" s="1405"/>
      <c r="G1123" s="1405"/>
      <c r="H1123" s="1405"/>
      <c r="I1123" s="1405"/>
      <c r="J1123" s="1405"/>
      <c r="K1123" s="1405"/>
      <c r="L1123" s="1405"/>
      <c r="M1123" s="1405"/>
      <c r="S1123" s="1731"/>
    </row>
    <row r="1124" spans="1:19" x14ac:dyDescent="0.2">
      <c r="A1124" s="1402"/>
      <c r="B1124" s="1405"/>
      <c r="C1124" s="1407"/>
      <c r="D1124" s="1405"/>
      <c r="E1124" s="1405"/>
      <c r="F1124" s="1405"/>
      <c r="G1124" s="1405"/>
      <c r="H1124" s="1405"/>
      <c r="I1124" s="1405"/>
      <c r="J1124" s="1405"/>
      <c r="K1124" s="1405"/>
      <c r="L1124" s="1405"/>
      <c r="M1124" s="1405"/>
      <c r="S1124" s="1731"/>
    </row>
    <row r="1125" spans="1:19" x14ac:dyDescent="0.2">
      <c r="A1125" s="1402"/>
      <c r="B1125" s="1405"/>
      <c r="C1125" s="1407"/>
      <c r="D1125" s="1405"/>
      <c r="E1125" s="1405"/>
      <c r="F1125" s="1405"/>
      <c r="G1125" s="1405"/>
      <c r="H1125" s="1405"/>
      <c r="I1125" s="1405"/>
      <c r="J1125" s="1405"/>
      <c r="K1125" s="1405"/>
      <c r="L1125" s="1405"/>
      <c r="M1125" s="1405"/>
      <c r="S1125" s="1731"/>
    </row>
    <row r="1126" spans="1:19" x14ac:dyDescent="0.2">
      <c r="A1126" s="1402"/>
      <c r="B1126" s="1405"/>
      <c r="C1126" s="1407"/>
      <c r="D1126" s="1405"/>
      <c r="E1126" s="1405"/>
      <c r="F1126" s="1405"/>
      <c r="G1126" s="1405"/>
      <c r="H1126" s="1405"/>
      <c r="I1126" s="1405"/>
      <c r="J1126" s="1405"/>
      <c r="K1126" s="1405"/>
      <c r="L1126" s="1405"/>
      <c r="M1126" s="1405"/>
      <c r="S1126" s="1731"/>
    </row>
    <row r="1127" spans="1:19" x14ac:dyDescent="0.2">
      <c r="A1127" s="1402"/>
      <c r="B1127" s="1405"/>
      <c r="C1127" s="1407"/>
      <c r="D1127" s="1405"/>
      <c r="E1127" s="1405"/>
      <c r="F1127" s="1405"/>
      <c r="G1127" s="1405"/>
      <c r="H1127" s="1405"/>
      <c r="I1127" s="1405"/>
      <c r="J1127" s="1405"/>
      <c r="K1127" s="1405"/>
      <c r="L1127" s="1405"/>
      <c r="M1127" s="1405"/>
      <c r="S1127" s="1731"/>
    </row>
    <row r="1128" spans="1:19" x14ac:dyDescent="0.2">
      <c r="A1128" s="1402"/>
      <c r="B1128" s="1405"/>
      <c r="C1128" s="1407"/>
      <c r="D1128" s="1405"/>
      <c r="E1128" s="1405"/>
      <c r="F1128" s="1405"/>
      <c r="G1128" s="1405"/>
      <c r="H1128" s="1405"/>
      <c r="I1128" s="1405"/>
      <c r="J1128" s="1405"/>
      <c r="K1128" s="1405"/>
      <c r="L1128" s="1405"/>
      <c r="M1128" s="1405"/>
      <c r="S1128" s="1731"/>
    </row>
    <row r="1129" spans="1:19" x14ac:dyDescent="0.2">
      <c r="A1129" s="1402"/>
      <c r="B1129" s="1405"/>
      <c r="C1129" s="1407"/>
      <c r="D1129" s="1405"/>
      <c r="E1129" s="1405"/>
      <c r="F1129" s="1405"/>
      <c r="G1129" s="1405"/>
      <c r="H1129" s="1405"/>
      <c r="I1129" s="1405"/>
      <c r="J1129" s="1405"/>
      <c r="K1129" s="1405"/>
      <c r="L1129" s="1405"/>
      <c r="M1129" s="1405"/>
      <c r="S1129" s="1731"/>
    </row>
    <row r="1130" spans="1:19" x14ac:dyDescent="0.2">
      <c r="A1130" s="1402"/>
      <c r="B1130" s="1405"/>
      <c r="C1130" s="1407"/>
      <c r="D1130" s="1405"/>
      <c r="E1130" s="1405"/>
      <c r="F1130" s="1405"/>
      <c r="G1130" s="1405"/>
      <c r="H1130" s="1405"/>
      <c r="I1130" s="1405"/>
      <c r="J1130" s="1405"/>
      <c r="K1130" s="1405"/>
      <c r="L1130" s="1405"/>
      <c r="M1130" s="1405"/>
      <c r="S1130" s="1731"/>
    </row>
    <row r="1131" spans="1:19" x14ac:dyDescent="0.2">
      <c r="A1131" s="1402"/>
      <c r="B1131" s="1405"/>
      <c r="C1131" s="1407"/>
      <c r="D1131" s="1405"/>
      <c r="E1131" s="1405"/>
      <c r="F1131" s="1405"/>
      <c r="G1131" s="1405"/>
      <c r="H1131" s="1405"/>
      <c r="I1131" s="1405"/>
      <c r="J1131" s="1405"/>
      <c r="K1131" s="1405"/>
      <c r="L1131" s="1405"/>
      <c r="M1131" s="1405"/>
      <c r="S1131" s="1731"/>
    </row>
    <row r="1132" spans="1:19" x14ac:dyDescent="0.2">
      <c r="A1132" s="1402"/>
      <c r="B1132" s="1405"/>
      <c r="C1132" s="1407"/>
      <c r="D1132" s="1405"/>
      <c r="E1132" s="1405"/>
      <c r="F1132" s="1405"/>
      <c r="G1132" s="1405"/>
      <c r="H1132" s="1405"/>
      <c r="I1132" s="1405"/>
      <c r="J1132" s="1405"/>
      <c r="K1132" s="1405"/>
      <c r="L1132" s="1405"/>
      <c r="M1132" s="1405"/>
      <c r="S1132" s="1731"/>
    </row>
    <row r="1133" spans="1:19" x14ac:dyDescent="0.2">
      <c r="A1133" s="1402"/>
      <c r="B1133" s="1405"/>
      <c r="C1133" s="1407"/>
      <c r="D1133" s="1405"/>
      <c r="E1133" s="1405"/>
      <c r="F1133" s="1405"/>
      <c r="G1133" s="1405"/>
      <c r="H1133" s="1405"/>
      <c r="I1133" s="1405"/>
      <c r="J1133" s="1405"/>
      <c r="K1133" s="1405"/>
      <c r="L1133" s="1405"/>
      <c r="M1133" s="1405"/>
      <c r="S1133" s="1731"/>
    </row>
    <row r="1134" spans="1:19" x14ac:dyDescent="0.2">
      <c r="A1134" s="1402"/>
      <c r="B1134" s="1405"/>
      <c r="C1134" s="1407"/>
      <c r="D1134" s="1405"/>
      <c r="E1134" s="1405"/>
      <c r="F1134" s="1405"/>
      <c r="G1134" s="1405"/>
      <c r="H1134" s="1405"/>
      <c r="I1134" s="1405"/>
      <c r="J1134" s="1405"/>
      <c r="K1134" s="1405"/>
      <c r="L1134" s="1405"/>
      <c r="M1134" s="1405"/>
      <c r="S1134" s="1731"/>
    </row>
    <row r="1135" spans="1:19" x14ac:dyDescent="0.2">
      <c r="A1135" s="1402"/>
      <c r="B1135" s="1405"/>
      <c r="C1135" s="1407"/>
      <c r="D1135" s="1405"/>
      <c r="E1135" s="1405"/>
      <c r="F1135" s="1405"/>
      <c r="G1135" s="1405"/>
      <c r="H1135" s="1405"/>
      <c r="I1135" s="1405"/>
      <c r="J1135" s="1405"/>
      <c r="K1135" s="1405"/>
      <c r="L1135" s="1405"/>
      <c r="M1135" s="1405"/>
      <c r="S1135" s="1731"/>
    </row>
    <row r="1136" spans="1:19" x14ac:dyDescent="0.2">
      <c r="A1136" s="1402"/>
      <c r="B1136" s="1405"/>
      <c r="C1136" s="1407"/>
      <c r="D1136" s="1405"/>
      <c r="E1136" s="1405"/>
      <c r="F1136" s="1405"/>
      <c r="G1136" s="1405"/>
      <c r="H1136" s="1405"/>
      <c r="I1136" s="1405"/>
      <c r="J1136" s="1405"/>
      <c r="K1136" s="1405"/>
      <c r="L1136" s="1405"/>
      <c r="M1136" s="1405"/>
      <c r="S1136" s="1731"/>
    </row>
    <row r="1137" spans="1:19" x14ac:dyDescent="0.2">
      <c r="A1137" s="1402"/>
      <c r="B1137" s="1405"/>
      <c r="C1137" s="1407"/>
      <c r="D1137" s="1405"/>
      <c r="E1137" s="1405"/>
      <c r="F1137" s="1405"/>
      <c r="G1137" s="1405"/>
      <c r="H1137" s="1405"/>
      <c r="I1137" s="1405"/>
      <c r="J1137" s="1405"/>
      <c r="K1137" s="1405"/>
      <c r="L1137" s="1405"/>
      <c r="M1137" s="1405"/>
      <c r="S1137" s="1731"/>
    </row>
    <row r="1138" spans="1:19" x14ac:dyDescent="0.2">
      <c r="A1138" s="1402"/>
      <c r="B1138" s="1405"/>
      <c r="C1138" s="1407"/>
      <c r="D1138" s="1405"/>
      <c r="E1138" s="1405"/>
      <c r="F1138" s="1405"/>
      <c r="G1138" s="1405"/>
      <c r="H1138" s="1405"/>
      <c r="I1138" s="1405"/>
      <c r="J1138" s="1405"/>
      <c r="K1138" s="1405"/>
      <c r="L1138" s="1405"/>
      <c r="M1138" s="1405"/>
      <c r="S1138" s="1731"/>
    </row>
    <row r="1139" spans="1:19" x14ac:dyDescent="0.2">
      <c r="A1139" s="1402"/>
      <c r="B1139" s="1405"/>
      <c r="C1139" s="1407"/>
      <c r="D1139" s="1405"/>
      <c r="E1139" s="1405"/>
      <c r="F1139" s="1405"/>
      <c r="G1139" s="1405"/>
      <c r="H1139" s="1405"/>
      <c r="I1139" s="1405"/>
      <c r="J1139" s="1405"/>
      <c r="K1139" s="1405"/>
      <c r="L1139" s="1405"/>
      <c r="M1139" s="1405"/>
      <c r="S1139" s="1731"/>
    </row>
    <row r="1140" spans="1:19" x14ac:dyDescent="0.2">
      <c r="A1140" s="1402"/>
      <c r="B1140" s="1405"/>
      <c r="C1140" s="1407"/>
      <c r="D1140" s="1405"/>
      <c r="E1140" s="1405"/>
      <c r="F1140" s="1405"/>
      <c r="G1140" s="1405"/>
      <c r="H1140" s="1405"/>
      <c r="I1140" s="1405"/>
      <c r="J1140" s="1405"/>
      <c r="K1140" s="1405"/>
      <c r="L1140" s="1405"/>
      <c r="M1140" s="1405"/>
      <c r="S1140" s="1731"/>
    </row>
    <row r="1141" spans="1:19" x14ac:dyDescent="0.2">
      <c r="A1141" s="1402"/>
      <c r="B1141" s="1405"/>
      <c r="C1141" s="1407"/>
      <c r="D1141" s="1405"/>
      <c r="E1141" s="1405"/>
      <c r="F1141" s="1405"/>
      <c r="G1141" s="1405"/>
      <c r="H1141" s="1405"/>
      <c r="I1141" s="1405"/>
      <c r="J1141" s="1405"/>
      <c r="K1141" s="1405"/>
      <c r="L1141" s="1405"/>
      <c r="M1141" s="1405"/>
      <c r="S1141" s="1731"/>
    </row>
    <row r="1142" spans="1:19" x14ac:dyDescent="0.2">
      <c r="A1142" s="1402"/>
      <c r="B1142" s="1405"/>
      <c r="C1142" s="1407"/>
      <c r="D1142" s="1405"/>
      <c r="E1142" s="1405"/>
      <c r="F1142" s="1405"/>
      <c r="G1142" s="1405"/>
      <c r="H1142" s="1405"/>
      <c r="I1142" s="1405"/>
      <c r="J1142" s="1405"/>
      <c r="K1142" s="1405"/>
      <c r="L1142" s="1405"/>
      <c r="M1142" s="1405"/>
      <c r="S1142" s="1731"/>
    </row>
    <row r="1143" spans="1:19" x14ac:dyDescent="0.2">
      <c r="A1143" s="1402"/>
      <c r="B1143" s="1405"/>
      <c r="C1143" s="1407"/>
      <c r="D1143" s="1405"/>
      <c r="E1143" s="1405"/>
      <c r="F1143" s="1405"/>
      <c r="G1143" s="1405"/>
      <c r="H1143" s="1405"/>
      <c r="I1143" s="1405"/>
      <c r="J1143" s="1405"/>
      <c r="K1143" s="1405"/>
      <c r="L1143" s="1405"/>
      <c r="M1143" s="1405"/>
      <c r="S1143" s="1731"/>
    </row>
    <row r="1144" spans="1:19" x14ac:dyDescent="0.2">
      <c r="A1144" s="1402"/>
      <c r="B1144" s="1405"/>
      <c r="C1144" s="1407"/>
      <c r="D1144" s="1405"/>
      <c r="E1144" s="1405"/>
      <c r="F1144" s="1405"/>
      <c r="G1144" s="1405"/>
      <c r="H1144" s="1405"/>
      <c r="I1144" s="1405"/>
      <c r="J1144" s="1405"/>
      <c r="K1144" s="1405"/>
      <c r="L1144" s="1405"/>
      <c r="M1144" s="1405"/>
      <c r="S1144" s="1731"/>
    </row>
    <row r="1145" spans="1:19" x14ac:dyDescent="0.2">
      <c r="A1145" s="1402"/>
      <c r="B1145" s="1405"/>
      <c r="C1145" s="1407"/>
      <c r="D1145" s="1405"/>
      <c r="E1145" s="1405"/>
      <c r="F1145" s="1405"/>
      <c r="G1145" s="1405"/>
      <c r="H1145" s="1405"/>
      <c r="I1145" s="1405"/>
      <c r="J1145" s="1405"/>
      <c r="K1145" s="1405"/>
      <c r="L1145" s="1405"/>
      <c r="M1145" s="1405"/>
      <c r="S1145" s="1731"/>
    </row>
    <row r="1146" spans="1:19" x14ac:dyDescent="0.2">
      <c r="A1146" s="1402"/>
      <c r="B1146" s="1405"/>
      <c r="C1146" s="1407"/>
      <c r="D1146" s="1405"/>
      <c r="E1146" s="1405"/>
      <c r="F1146" s="1405"/>
      <c r="G1146" s="1405"/>
      <c r="H1146" s="1405"/>
      <c r="I1146" s="1405"/>
      <c r="J1146" s="1405"/>
      <c r="K1146" s="1405"/>
      <c r="L1146" s="1405"/>
      <c r="M1146" s="1405"/>
      <c r="S1146" s="1731"/>
    </row>
    <row r="1147" spans="1:19" x14ac:dyDescent="0.2">
      <c r="A1147" s="1402"/>
      <c r="B1147" s="1405"/>
      <c r="C1147" s="1407"/>
      <c r="D1147" s="1405"/>
      <c r="E1147" s="1405"/>
      <c r="F1147" s="1405"/>
      <c r="G1147" s="1405"/>
      <c r="H1147" s="1405"/>
      <c r="I1147" s="1405"/>
      <c r="J1147" s="1405"/>
      <c r="K1147" s="1405"/>
      <c r="L1147" s="1405"/>
      <c r="M1147" s="1405"/>
      <c r="S1147" s="1731"/>
    </row>
    <row r="1148" spans="1:19" x14ac:dyDescent="0.2">
      <c r="A1148" s="1402"/>
      <c r="B1148" s="1405"/>
      <c r="C1148" s="1407"/>
      <c r="D1148" s="1405"/>
      <c r="E1148" s="1405"/>
      <c r="F1148" s="1405"/>
      <c r="G1148" s="1405"/>
      <c r="H1148" s="1405"/>
      <c r="I1148" s="1405"/>
      <c r="J1148" s="1405"/>
      <c r="K1148" s="1405"/>
      <c r="L1148" s="1405"/>
      <c r="M1148" s="1405"/>
      <c r="S1148" s="1731"/>
    </row>
    <row r="1149" spans="1:19" x14ac:dyDescent="0.2">
      <c r="A1149" s="1402"/>
      <c r="B1149" s="1405"/>
      <c r="C1149" s="1407"/>
      <c r="D1149" s="1405"/>
      <c r="E1149" s="1405"/>
      <c r="F1149" s="1405"/>
      <c r="G1149" s="1405"/>
      <c r="H1149" s="1405"/>
      <c r="I1149" s="1405"/>
      <c r="J1149" s="1405"/>
      <c r="K1149" s="1405"/>
      <c r="L1149" s="1405"/>
      <c r="M1149" s="1405"/>
      <c r="S1149" s="1731"/>
    </row>
    <row r="1150" spans="1:19" x14ac:dyDescent="0.2">
      <c r="A1150" s="1402"/>
      <c r="B1150" s="1405"/>
      <c r="C1150" s="1407"/>
      <c r="D1150" s="1405"/>
      <c r="E1150" s="1405"/>
      <c r="F1150" s="1405"/>
      <c r="G1150" s="1405"/>
      <c r="H1150" s="1405"/>
      <c r="I1150" s="1405"/>
      <c r="J1150" s="1405"/>
      <c r="K1150" s="1405"/>
      <c r="L1150" s="1405"/>
      <c r="M1150" s="1405"/>
      <c r="S1150" s="1731"/>
    </row>
    <row r="1151" spans="1:19" x14ac:dyDescent="0.2">
      <c r="A1151" s="1402"/>
      <c r="B1151" s="1405"/>
      <c r="C1151" s="1407"/>
      <c r="D1151" s="1405"/>
      <c r="E1151" s="1405"/>
      <c r="F1151" s="1405"/>
      <c r="G1151" s="1405"/>
      <c r="H1151" s="1405"/>
      <c r="I1151" s="1405"/>
      <c r="J1151" s="1405"/>
      <c r="K1151" s="1405"/>
      <c r="L1151" s="1405"/>
      <c r="M1151" s="1405"/>
      <c r="S1151" s="1731"/>
    </row>
    <row r="1152" spans="1:19" x14ac:dyDescent="0.2">
      <c r="A1152" s="1402"/>
      <c r="B1152" s="1405"/>
      <c r="C1152" s="1407"/>
      <c r="D1152" s="1405"/>
      <c r="E1152" s="1405"/>
      <c r="F1152" s="1405"/>
      <c r="G1152" s="1405"/>
      <c r="H1152" s="1405"/>
      <c r="I1152" s="1405"/>
      <c r="J1152" s="1405"/>
      <c r="K1152" s="1405"/>
      <c r="L1152" s="1405"/>
      <c r="M1152" s="1405"/>
      <c r="S1152" s="1731"/>
    </row>
    <row r="1153" spans="1:19" x14ac:dyDescent="0.2">
      <c r="A1153" s="1402"/>
      <c r="B1153" s="1405"/>
      <c r="C1153" s="1407"/>
      <c r="D1153" s="1405"/>
      <c r="E1153" s="1405"/>
      <c r="F1153" s="1405"/>
      <c r="G1153" s="1405"/>
      <c r="H1153" s="1405"/>
      <c r="I1153" s="1405"/>
      <c r="J1153" s="1405"/>
      <c r="K1153" s="1405"/>
      <c r="L1153" s="1405"/>
      <c r="M1153" s="1405"/>
      <c r="S1153" s="1731"/>
    </row>
    <row r="1154" spans="1:19" x14ac:dyDescent="0.2">
      <c r="A1154" s="1402"/>
      <c r="B1154" s="1405"/>
      <c r="C1154" s="1407"/>
      <c r="D1154" s="1405"/>
      <c r="E1154" s="1405"/>
      <c r="F1154" s="1405"/>
      <c r="G1154" s="1405"/>
      <c r="H1154" s="1405"/>
      <c r="I1154" s="1405"/>
      <c r="J1154" s="1405"/>
      <c r="K1154" s="1405"/>
      <c r="L1154" s="1405"/>
      <c r="M1154" s="1405"/>
      <c r="S1154" s="1731"/>
    </row>
    <row r="1155" spans="1:19" x14ac:dyDescent="0.2">
      <c r="A1155" s="1402"/>
      <c r="B1155" s="1405"/>
      <c r="C1155" s="1407"/>
      <c r="D1155" s="1405"/>
      <c r="E1155" s="1405"/>
      <c r="F1155" s="1405"/>
      <c r="G1155" s="1405"/>
      <c r="H1155" s="1405"/>
      <c r="I1155" s="1405"/>
      <c r="J1155" s="1405"/>
      <c r="K1155" s="1405"/>
      <c r="L1155" s="1405"/>
      <c r="M1155" s="1405"/>
      <c r="S1155" s="1731"/>
    </row>
    <row r="1156" spans="1:19" x14ac:dyDescent="0.2">
      <c r="A1156" s="1402"/>
      <c r="B1156" s="1405"/>
      <c r="C1156" s="1407"/>
      <c r="D1156" s="1405"/>
      <c r="E1156" s="1405"/>
      <c r="F1156" s="1405"/>
      <c r="G1156" s="1405"/>
      <c r="H1156" s="1405"/>
      <c r="I1156" s="1405"/>
      <c r="J1156" s="1405"/>
      <c r="K1156" s="1405"/>
      <c r="L1156" s="1405"/>
      <c r="M1156" s="1405"/>
      <c r="S1156" s="1731"/>
    </row>
    <row r="1157" spans="1:19" x14ac:dyDescent="0.2">
      <c r="A1157" s="1402"/>
      <c r="B1157" s="1405"/>
      <c r="C1157" s="1407"/>
      <c r="D1157" s="1405"/>
      <c r="E1157" s="1405"/>
      <c r="F1157" s="1405"/>
      <c r="G1157" s="1405"/>
      <c r="H1157" s="1405"/>
      <c r="I1157" s="1405"/>
      <c r="J1157" s="1405"/>
      <c r="K1157" s="1405"/>
      <c r="L1157" s="1405"/>
      <c r="M1157" s="1405"/>
      <c r="S1157" s="1731"/>
    </row>
    <row r="1158" spans="1:19" x14ac:dyDescent="0.2">
      <c r="A1158" s="1402"/>
      <c r="B1158" s="1405"/>
      <c r="C1158" s="1407"/>
      <c r="D1158" s="1405"/>
      <c r="E1158" s="1405"/>
      <c r="F1158" s="1405"/>
      <c r="G1158" s="1405"/>
      <c r="H1158" s="1405"/>
      <c r="I1158" s="1405"/>
      <c r="J1158" s="1405"/>
      <c r="K1158" s="1405"/>
      <c r="L1158" s="1405"/>
      <c r="M1158" s="1405"/>
      <c r="S1158" s="1731"/>
    </row>
    <row r="1159" spans="1:19" x14ac:dyDescent="0.2">
      <c r="A1159" s="1402"/>
      <c r="B1159" s="1405"/>
      <c r="C1159" s="1407"/>
      <c r="D1159" s="1405"/>
      <c r="E1159" s="1405"/>
      <c r="F1159" s="1405"/>
      <c r="G1159" s="1405"/>
      <c r="H1159" s="1405"/>
      <c r="I1159" s="1405"/>
      <c r="J1159" s="1405"/>
      <c r="K1159" s="1405"/>
      <c r="L1159" s="1405"/>
      <c r="M1159" s="1405"/>
      <c r="S1159" s="1731"/>
    </row>
    <row r="1160" spans="1:19" x14ac:dyDescent="0.2">
      <c r="A1160" s="1402"/>
      <c r="B1160" s="1405"/>
      <c r="C1160" s="1407"/>
      <c r="D1160" s="1405"/>
      <c r="E1160" s="1405"/>
      <c r="F1160" s="1405"/>
      <c r="G1160" s="1405"/>
      <c r="H1160" s="1405"/>
      <c r="I1160" s="1405"/>
      <c r="J1160" s="1405"/>
      <c r="K1160" s="1405"/>
      <c r="L1160" s="1405"/>
      <c r="M1160" s="1405"/>
      <c r="S1160" s="1731"/>
    </row>
    <row r="1161" spans="1:19" x14ac:dyDescent="0.2">
      <c r="A1161" s="1402"/>
      <c r="B1161" s="1405"/>
      <c r="C1161" s="1407"/>
      <c r="D1161" s="1405"/>
      <c r="E1161" s="1405"/>
      <c r="F1161" s="1405"/>
      <c r="G1161" s="1405"/>
      <c r="H1161" s="1405"/>
      <c r="I1161" s="1405"/>
      <c r="J1161" s="1405"/>
      <c r="K1161" s="1405"/>
      <c r="L1161" s="1405"/>
      <c r="M1161" s="1405"/>
      <c r="S1161" s="1731"/>
    </row>
    <row r="1162" spans="1:19" x14ac:dyDescent="0.2">
      <c r="A1162" s="1402"/>
      <c r="B1162" s="1405"/>
      <c r="C1162" s="1407"/>
      <c r="D1162" s="1405"/>
      <c r="E1162" s="1405"/>
      <c r="F1162" s="1405"/>
      <c r="G1162" s="1405"/>
      <c r="H1162" s="1405"/>
      <c r="I1162" s="1405"/>
      <c r="J1162" s="1405"/>
      <c r="K1162" s="1405"/>
      <c r="L1162" s="1405"/>
      <c r="M1162" s="1405"/>
      <c r="S1162" s="1731"/>
    </row>
    <row r="1163" spans="1:19" x14ac:dyDescent="0.2">
      <c r="A1163" s="1402"/>
      <c r="B1163" s="1405"/>
      <c r="C1163" s="1407"/>
      <c r="D1163" s="1405"/>
      <c r="E1163" s="1405"/>
      <c r="F1163" s="1405"/>
      <c r="G1163" s="1405"/>
      <c r="H1163" s="1405"/>
      <c r="I1163" s="1405"/>
      <c r="J1163" s="1405"/>
      <c r="K1163" s="1405"/>
      <c r="L1163" s="1405"/>
      <c r="M1163" s="1405"/>
      <c r="S1163" s="1731"/>
    </row>
    <row r="1164" spans="1:19" x14ac:dyDescent="0.2">
      <c r="A1164" s="1402"/>
      <c r="B1164" s="1405"/>
      <c r="C1164" s="1407"/>
      <c r="D1164" s="1405"/>
      <c r="E1164" s="1405"/>
      <c r="F1164" s="1405"/>
      <c r="G1164" s="1405"/>
      <c r="H1164" s="1405"/>
      <c r="I1164" s="1405"/>
      <c r="J1164" s="1405"/>
      <c r="K1164" s="1405"/>
      <c r="L1164" s="1405"/>
      <c r="M1164" s="1405"/>
      <c r="S1164" s="1731"/>
    </row>
    <row r="1165" spans="1:19" x14ac:dyDescent="0.2">
      <c r="A1165" s="1402"/>
      <c r="B1165" s="1405"/>
      <c r="C1165" s="1407"/>
      <c r="D1165" s="1405"/>
      <c r="E1165" s="1405"/>
      <c r="F1165" s="1405"/>
      <c r="G1165" s="1405"/>
      <c r="H1165" s="1405"/>
      <c r="I1165" s="1405"/>
      <c r="J1165" s="1405"/>
      <c r="K1165" s="1405"/>
      <c r="L1165" s="1405"/>
      <c r="M1165" s="1405"/>
      <c r="S1165" s="1731"/>
    </row>
    <row r="1166" spans="1:19" x14ac:dyDescent="0.2">
      <c r="A1166" s="1402"/>
      <c r="B1166" s="1405"/>
      <c r="C1166" s="1407"/>
      <c r="D1166" s="1405"/>
      <c r="E1166" s="1405"/>
      <c r="F1166" s="1405"/>
      <c r="G1166" s="1405"/>
      <c r="H1166" s="1405"/>
      <c r="I1166" s="1405"/>
      <c r="J1166" s="1405"/>
      <c r="K1166" s="1405"/>
      <c r="L1166" s="1405"/>
      <c r="M1166" s="1405"/>
      <c r="S1166" s="1731"/>
    </row>
    <row r="1167" spans="1:19" x14ac:dyDescent="0.2">
      <c r="A1167" s="1402"/>
      <c r="B1167" s="1405"/>
      <c r="C1167" s="1407"/>
      <c r="D1167" s="1405"/>
      <c r="E1167" s="1405"/>
      <c r="F1167" s="1405"/>
      <c r="G1167" s="1405"/>
      <c r="H1167" s="1405"/>
      <c r="I1167" s="1405"/>
      <c r="J1167" s="1405"/>
      <c r="K1167" s="1405"/>
      <c r="L1167" s="1405"/>
      <c r="M1167" s="1405"/>
      <c r="S1167" s="1731"/>
    </row>
    <row r="1168" spans="1:19" x14ac:dyDescent="0.2">
      <c r="A1168" s="1402"/>
      <c r="B1168" s="1405"/>
      <c r="C1168" s="1407"/>
      <c r="D1168" s="1405"/>
      <c r="E1168" s="1405"/>
      <c r="F1168" s="1405"/>
      <c r="G1168" s="1405"/>
      <c r="H1168" s="1405"/>
      <c r="I1168" s="1405"/>
      <c r="J1168" s="1405"/>
      <c r="K1168" s="1405"/>
      <c r="L1168" s="1405"/>
      <c r="M1168" s="1405"/>
      <c r="S1168" s="1731"/>
    </row>
    <row r="1169" spans="1:19" x14ac:dyDescent="0.2">
      <c r="A1169" s="1402"/>
      <c r="B1169" s="1405"/>
      <c r="C1169" s="1407"/>
      <c r="D1169" s="1405"/>
      <c r="E1169" s="1405"/>
      <c r="F1169" s="1405"/>
      <c r="G1169" s="1405"/>
      <c r="H1169" s="1405"/>
      <c r="I1169" s="1405"/>
      <c r="J1169" s="1405"/>
      <c r="K1169" s="1405"/>
      <c r="L1169" s="1405"/>
      <c r="M1169" s="1405"/>
      <c r="S1169" s="1731"/>
    </row>
    <row r="1170" spans="1:19" x14ac:dyDescent="0.2">
      <c r="A1170" s="1402"/>
      <c r="B1170" s="1405"/>
      <c r="C1170" s="1407"/>
      <c r="D1170" s="1405"/>
      <c r="E1170" s="1405"/>
      <c r="F1170" s="1405"/>
      <c r="G1170" s="1405"/>
      <c r="H1170" s="1405"/>
      <c r="I1170" s="1405"/>
      <c r="J1170" s="1405"/>
      <c r="K1170" s="1405"/>
      <c r="L1170" s="1405"/>
      <c r="M1170" s="1405"/>
      <c r="S1170" s="1731"/>
    </row>
    <row r="1171" spans="1:19" x14ac:dyDescent="0.2">
      <c r="A1171" s="1402"/>
      <c r="B1171" s="1405"/>
      <c r="C1171" s="1407"/>
      <c r="D1171" s="1405"/>
      <c r="E1171" s="1405"/>
      <c r="F1171" s="1405"/>
      <c r="G1171" s="1405"/>
      <c r="H1171" s="1405"/>
      <c r="I1171" s="1405"/>
      <c r="J1171" s="1405"/>
      <c r="K1171" s="1405"/>
      <c r="L1171" s="1405"/>
      <c r="M1171" s="1405"/>
      <c r="S1171" s="1731"/>
    </row>
    <row r="1172" spans="1:19" x14ac:dyDescent="0.2">
      <c r="A1172" s="1402"/>
      <c r="B1172" s="1405"/>
      <c r="C1172" s="1407"/>
      <c r="D1172" s="1405"/>
      <c r="E1172" s="1405"/>
      <c r="F1172" s="1405"/>
      <c r="G1172" s="1405"/>
      <c r="H1172" s="1405"/>
      <c r="I1172" s="1405"/>
      <c r="J1172" s="1405"/>
      <c r="K1172" s="1405"/>
      <c r="L1172" s="1405"/>
      <c r="M1172" s="1405"/>
      <c r="S1172" s="1731"/>
    </row>
    <row r="1173" spans="1:19" x14ac:dyDescent="0.2">
      <c r="A1173" s="1402"/>
      <c r="B1173" s="1405"/>
      <c r="C1173" s="1407"/>
      <c r="D1173" s="1405"/>
      <c r="E1173" s="1405"/>
      <c r="F1173" s="1405"/>
      <c r="G1173" s="1405"/>
      <c r="H1173" s="1405"/>
      <c r="I1173" s="1405"/>
      <c r="J1173" s="1405"/>
      <c r="K1173" s="1405"/>
      <c r="L1173" s="1405"/>
      <c r="M1173" s="1405"/>
      <c r="S1173" s="1731"/>
    </row>
    <row r="1174" spans="1:19" x14ac:dyDescent="0.2">
      <c r="A1174" s="1402"/>
      <c r="B1174" s="1405"/>
      <c r="C1174" s="1407"/>
      <c r="D1174" s="1405"/>
      <c r="E1174" s="1405"/>
      <c r="F1174" s="1405"/>
      <c r="G1174" s="1405"/>
      <c r="H1174" s="1405"/>
      <c r="I1174" s="1405"/>
      <c r="J1174" s="1405"/>
      <c r="K1174" s="1405"/>
      <c r="L1174" s="1405"/>
      <c r="M1174" s="1405"/>
      <c r="S1174" s="1731"/>
    </row>
    <row r="1175" spans="1:19" x14ac:dyDescent="0.2">
      <c r="A1175" s="1402"/>
      <c r="B1175" s="1405"/>
      <c r="C1175" s="1407"/>
      <c r="D1175" s="1405"/>
      <c r="E1175" s="1405"/>
      <c r="F1175" s="1405"/>
      <c r="G1175" s="1405"/>
      <c r="H1175" s="1405"/>
      <c r="I1175" s="1405"/>
      <c r="J1175" s="1405"/>
      <c r="K1175" s="1405"/>
      <c r="L1175" s="1405"/>
      <c r="M1175" s="1405"/>
      <c r="S1175" s="1731"/>
    </row>
    <row r="1176" spans="1:19" x14ac:dyDescent="0.2">
      <c r="A1176" s="1402"/>
      <c r="B1176" s="1405"/>
      <c r="C1176" s="1407"/>
      <c r="D1176" s="1405"/>
      <c r="E1176" s="1405"/>
      <c r="F1176" s="1405"/>
      <c r="G1176" s="1405"/>
      <c r="H1176" s="1405"/>
      <c r="I1176" s="1405"/>
      <c r="J1176" s="1405"/>
      <c r="K1176" s="1405"/>
      <c r="L1176" s="1405"/>
      <c r="M1176" s="1405"/>
      <c r="S1176" s="1731"/>
    </row>
    <row r="1177" spans="1:19" x14ac:dyDescent="0.2">
      <c r="A1177" s="1402"/>
      <c r="B1177" s="1405"/>
      <c r="C1177" s="1407"/>
      <c r="D1177" s="1405"/>
      <c r="E1177" s="1405"/>
      <c r="F1177" s="1405"/>
      <c r="G1177" s="1405"/>
      <c r="H1177" s="1405"/>
      <c r="I1177" s="1405"/>
      <c r="J1177" s="1405"/>
      <c r="K1177" s="1405"/>
      <c r="L1177" s="1405"/>
      <c r="M1177" s="1405"/>
      <c r="S1177" s="1731"/>
    </row>
    <row r="1178" spans="1:19" x14ac:dyDescent="0.2">
      <c r="A1178" s="1402"/>
      <c r="B1178" s="1405"/>
      <c r="C1178" s="1407"/>
      <c r="D1178" s="1405"/>
      <c r="E1178" s="1405"/>
      <c r="F1178" s="1405"/>
      <c r="G1178" s="1405"/>
      <c r="H1178" s="1405"/>
      <c r="I1178" s="1405"/>
      <c r="J1178" s="1405"/>
      <c r="K1178" s="1405"/>
      <c r="L1178" s="1405"/>
      <c r="M1178" s="1405"/>
      <c r="S1178" s="1731"/>
    </row>
    <row r="1179" spans="1:19" x14ac:dyDescent="0.2">
      <c r="A1179" s="1402"/>
      <c r="B1179" s="1405"/>
      <c r="C1179" s="1407"/>
      <c r="D1179" s="1405"/>
      <c r="E1179" s="1405"/>
      <c r="F1179" s="1405"/>
      <c r="G1179" s="1405"/>
      <c r="H1179" s="1405"/>
      <c r="I1179" s="1405"/>
      <c r="J1179" s="1405"/>
      <c r="K1179" s="1405"/>
      <c r="L1179" s="1405"/>
      <c r="M1179" s="1405"/>
      <c r="S1179" s="1731"/>
    </row>
    <row r="1180" spans="1:19" x14ac:dyDescent="0.2">
      <c r="A1180" s="1402"/>
      <c r="B1180" s="1405"/>
      <c r="C1180" s="1407"/>
      <c r="D1180" s="1405"/>
      <c r="E1180" s="1405"/>
      <c r="F1180" s="1405"/>
      <c r="G1180" s="1405"/>
      <c r="H1180" s="1405"/>
      <c r="I1180" s="1405"/>
      <c r="J1180" s="1405"/>
      <c r="K1180" s="1405"/>
      <c r="L1180" s="1405"/>
      <c r="M1180" s="1405"/>
      <c r="S1180" s="1731"/>
    </row>
    <row r="1181" spans="1:19" x14ac:dyDescent="0.2">
      <c r="A1181" s="1402"/>
      <c r="B1181" s="1405"/>
      <c r="C1181" s="1407"/>
      <c r="D1181" s="1405"/>
      <c r="E1181" s="1405"/>
      <c r="F1181" s="1405"/>
      <c r="G1181" s="1405"/>
      <c r="H1181" s="1405"/>
      <c r="I1181" s="1405"/>
      <c r="J1181" s="1405"/>
      <c r="K1181" s="1405"/>
      <c r="L1181" s="1405"/>
      <c r="M1181" s="1405"/>
      <c r="S1181" s="1731"/>
    </row>
    <row r="1182" spans="1:19" x14ac:dyDescent="0.2">
      <c r="A1182" s="1402"/>
      <c r="B1182" s="1405"/>
      <c r="C1182" s="1407"/>
      <c r="D1182" s="1405"/>
      <c r="E1182" s="1405"/>
      <c r="F1182" s="1405"/>
      <c r="G1182" s="1405"/>
      <c r="H1182" s="1405"/>
      <c r="I1182" s="1405"/>
      <c r="J1182" s="1405"/>
      <c r="K1182" s="1405"/>
      <c r="L1182" s="1405"/>
      <c r="M1182" s="1405"/>
      <c r="S1182" s="1731"/>
    </row>
    <row r="1183" spans="1:19" x14ac:dyDescent="0.2">
      <c r="A1183" s="1402"/>
      <c r="B1183" s="1405"/>
      <c r="C1183" s="1407"/>
      <c r="D1183" s="1405"/>
      <c r="E1183" s="1405"/>
      <c r="F1183" s="1405"/>
      <c r="G1183" s="1405"/>
      <c r="H1183" s="1405"/>
      <c r="I1183" s="1405"/>
      <c r="J1183" s="1405"/>
      <c r="K1183" s="1405"/>
      <c r="L1183" s="1405"/>
      <c r="M1183" s="1405"/>
      <c r="S1183" s="1731"/>
    </row>
    <row r="1184" spans="1:19" x14ac:dyDescent="0.2">
      <c r="A1184" s="1402"/>
      <c r="B1184" s="1405"/>
      <c r="C1184" s="1407"/>
      <c r="D1184" s="1405"/>
      <c r="E1184" s="1405"/>
      <c r="F1184" s="1405"/>
      <c r="G1184" s="1405"/>
      <c r="H1184" s="1405"/>
      <c r="I1184" s="1405"/>
      <c r="J1184" s="1405"/>
      <c r="K1184" s="1405"/>
      <c r="L1184" s="1405"/>
      <c r="M1184" s="1405"/>
      <c r="S1184" s="1731"/>
    </row>
    <row r="1185" spans="1:19" x14ac:dyDescent="0.2">
      <c r="A1185" s="1402"/>
      <c r="B1185" s="1405"/>
      <c r="C1185" s="1407"/>
      <c r="D1185" s="1405"/>
      <c r="E1185" s="1405"/>
      <c r="F1185" s="1405"/>
      <c r="G1185" s="1405"/>
      <c r="H1185" s="1405"/>
      <c r="I1185" s="1405"/>
      <c r="J1185" s="1405"/>
      <c r="K1185" s="1405"/>
      <c r="L1185" s="1405"/>
      <c r="M1185" s="1405"/>
      <c r="S1185" s="1731"/>
    </row>
    <row r="1186" spans="1:19" x14ac:dyDescent="0.2">
      <c r="A1186" s="1402"/>
      <c r="B1186" s="1405"/>
      <c r="C1186" s="1407"/>
      <c r="D1186" s="1405"/>
      <c r="E1186" s="1405"/>
      <c r="F1186" s="1405"/>
      <c r="G1186" s="1405"/>
      <c r="H1186" s="1405"/>
      <c r="I1186" s="1405"/>
      <c r="J1186" s="1405"/>
      <c r="K1186" s="1405"/>
      <c r="L1186" s="1405"/>
      <c r="M1186" s="1405"/>
      <c r="S1186" s="1731"/>
    </row>
    <row r="1187" spans="1:19" x14ac:dyDescent="0.2">
      <c r="A1187" s="1402"/>
      <c r="B1187" s="1405"/>
      <c r="C1187" s="1407"/>
      <c r="D1187" s="1405"/>
      <c r="E1187" s="1405"/>
      <c r="F1187" s="1405"/>
      <c r="G1187" s="1405"/>
      <c r="H1187" s="1405"/>
      <c r="I1187" s="1405"/>
      <c r="J1187" s="1405"/>
      <c r="K1187" s="1405"/>
      <c r="L1187" s="1405"/>
      <c r="M1187" s="1405"/>
      <c r="S1187" s="1731"/>
    </row>
    <row r="1188" spans="1:19" x14ac:dyDescent="0.2">
      <c r="A1188" s="1402"/>
      <c r="B1188" s="1405"/>
      <c r="C1188" s="1407"/>
      <c r="D1188" s="1405"/>
      <c r="E1188" s="1405"/>
      <c r="F1188" s="1405"/>
      <c r="G1188" s="1405"/>
      <c r="H1188" s="1405"/>
      <c r="I1188" s="1405"/>
      <c r="J1188" s="1405"/>
      <c r="K1188" s="1405"/>
      <c r="L1188" s="1405"/>
      <c r="M1188" s="1405"/>
      <c r="S1188" s="1731"/>
    </row>
    <row r="1189" spans="1:19" x14ac:dyDescent="0.2">
      <c r="A1189" s="1402"/>
      <c r="B1189" s="1405"/>
      <c r="C1189" s="1407"/>
      <c r="D1189" s="1405"/>
      <c r="E1189" s="1405"/>
      <c r="F1189" s="1405"/>
      <c r="G1189" s="1405"/>
      <c r="H1189" s="1405"/>
      <c r="I1189" s="1405"/>
      <c r="J1189" s="1405"/>
      <c r="K1189" s="1405"/>
      <c r="L1189" s="1405"/>
      <c r="M1189" s="1405"/>
      <c r="S1189" s="1731"/>
    </row>
    <row r="1190" spans="1:19" x14ac:dyDescent="0.2">
      <c r="A1190" s="1402"/>
      <c r="B1190" s="1405"/>
      <c r="C1190" s="1407"/>
      <c r="D1190" s="1405"/>
      <c r="E1190" s="1405"/>
      <c r="F1190" s="1405"/>
      <c r="G1190" s="1405"/>
      <c r="H1190" s="1405"/>
      <c r="I1190" s="1405"/>
      <c r="J1190" s="1405"/>
      <c r="K1190" s="1405"/>
      <c r="L1190" s="1405"/>
      <c r="M1190" s="1405"/>
      <c r="S1190" s="1731"/>
    </row>
    <row r="1191" spans="1:19" x14ac:dyDescent="0.2">
      <c r="A1191" s="1402"/>
      <c r="B1191" s="1405"/>
      <c r="C1191" s="1407"/>
      <c r="D1191" s="1405"/>
      <c r="E1191" s="1405"/>
      <c r="F1191" s="1405"/>
      <c r="G1191" s="1405"/>
      <c r="H1191" s="1405"/>
      <c r="I1191" s="1405"/>
      <c r="J1191" s="1405"/>
      <c r="K1191" s="1405"/>
      <c r="L1191" s="1405"/>
      <c r="M1191" s="1405"/>
      <c r="S1191" s="1731"/>
    </row>
    <row r="1192" spans="1:19" x14ac:dyDescent="0.2">
      <c r="A1192" s="1402"/>
      <c r="B1192" s="1405"/>
      <c r="C1192" s="1407"/>
      <c r="D1192" s="1405"/>
      <c r="E1192" s="1405"/>
      <c r="F1192" s="1405"/>
      <c r="G1192" s="1405"/>
      <c r="H1192" s="1405"/>
      <c r="I1192" s="1405"/>
      <c r="J1192" s="1405"/>
      <c r="K1192" s="1405"/>
      <c r="L1192" s="1405"/>
      <c r="M1192" s="1405"/>
      <c r="S1192" s="1731"/>
    </row>
    <row r="1193" spans="1:19" x14ac:dyDescent="0.2">
      <c r="A1193" s="1402"/>
      <c r="B1193" s="1405"/>
      <c r="C1193" s="1407"/>
      <c r="D1193" s="1405"/>
      <c r="E1193" s="1405"/>
      <c r="F1193" s="1405"/>
      <c r="G1193" s="1405"/>
      <c r="H1193" s="1405"/>
      <c r="I1193" s="1405"/>
      <c r="J1193" s="1405"/>
      <c r="K1193" s="1405"/>
      <c r="L1193" s="1405"/>
      <c r="M1193" s="1405"/>
      <c r="S1193" s="1731"/>
    </row>
    <row r="1194" spans="1:19" x14ac:dyDescent="0.2">
      <c r="A1194" s="1402"/>
      <c r="B1194" s="1405"/>
      <c r="C1194" s="1407"/>
      <c r="D1194" s="1405"/>
      <c r="E1194" s="1405"/>
      <c r="F1194" s="1405"/>
      <c r="G1194" s="1405"/>
      <c r="H1194" s="1405"/>
      <c r="I1194" s="1405"/>
      <c r="J1194" s="1405"/>
      <c r="K1194" s="1405"/>
      <c r="L1194" s="1405"/>
      <c r="M1194" s="1405"/>
      <c r="S1194" s="1731"/>
    </row>
    <row r="1195" spans="1:19" x14ac:dyDescent="0.2">
      <c r="A1195" s="1402"/>
      <c r="B1195" s="1405"/>
      <c r="C1195" s="1407"/>
      <c r="D1195" s="1405"/>
      <c r="E1195" s="1405"/>
      <c r="F1195" s="1405"/>
      <c r="G1195" s="1405"/>
      <c r="H1195" s="1405"/>
      <c r="I1195" s="1405"/>
      <c r="J1195" s="1405"/>
      <c r="K1195" s="1405"/>
      <c r="L1195" s="1405"/>
      <c r="M1195" s="1405"/>
      <c r="S1195" s="1731"/>
    </row>
    <row r="1196" spans="1:19" x14ac:dyDescent="0.2">
      <c r="A1196" s="1402"/>
      <c r="B1196" s="1405"/>
      <c r="C1196" s="1407"/>
      <c r="D1196" s="1405"/>
      <c r="E1196" s="1405"/>
      <c r="F1196" s="1405"/>
      <c r="G1196" s="1405"/>
      <c r="H1196" s="1405"/>
      <c r="I1196" s="1405"/>
      <c r="J1196" s="1405"/>
      <c r="K1196" s="1405"/>
      <c r="L1196" s="1405"/>
      <c r="M1196" s="1405"/>
      <c r="S1196" s="1731"/>
    </row>
    <row r="1197" spans="1:19" x14ac:dyDescent="0.2">
      <c r="A1197" s="1402"/>
      <c r="B1197" s="1405"/>
      <c r="C1197" s="1407"/>
      <c r="D1197" s="1405"/>
      <c r="E1197" s="1405"/>
      <c r="F1197" s="1405"/>
      <c r="G1197" s="1405"/>
      <c r="H1197" s="1405"/>
      <c r="I1197" s="1405"/>
      <c r="J1197" s="1405"/>
      <c r="K1197" s="1405"/>
      <c r="L1197" s="1405"/>
      <c r="M1197" s="1405"/>
      <c r="S1197" s="1731"/>
    </row>
    <row r="1198" spans="1:19" x14ac:dyDescent="0.2">
      <c r="A1198" s="1402"/>
      <c r="B1198" s="1405"/>
      <c r="C1198" s="1407"/>
      <c r="D1198" s="1405"/>
      <c r="E1198" s="1405"/>
      <c r="F1198" s="1405"/>
      <c r="G1198" s="1405"/>
      <c r="H1198" s="1405"/>
      <c r="I1198" s="1405"/>
      <c r="J1198" s="1405"/>
      <c r="K1198" s="1405"/>
      <c r="L1198" s="1405"/>
      <c r="M1198" s="1405"/>
      <c r="S1198" s="1731"/>
    </row>
    <row r="1199" spans="1:19" x14ac:dyDescent="0.2">
      <c r="A1199" s="1402"/>
      <c r="B1199" s="1405"/>
      <c r="C1199" s="1407"/>
      <c r="D1199" s="1405"/>
      <c r="E1199" s="1405"/>
      <c r="F1199" s="1405"/>
      <c r="G1199" s="1405"/>
      <c r="H1199" s="1405"/>
      <c r="I1199" s="1405"/>
      <c r="J1199" s="1405"/>
      <c r="K1199" s="1405"/>
      <c r="L1199" s="1405"/>
      <c r="M1199" s="1405"/>
      <c r="S1199" s="1731"/>
    </row>
    <row r="1200" spans="1:19" x14ac:dyDescent="0.2">
      <c r="A1200" s="1402"/>
      <c r="B1200" s="1405"/>
      <c r="C1200" s="1407"/>
      <c r="D1200" s="1405"/>
      <c r="E1200" s="1405"/>
      <c r="F1200" s="1405"/>
      <c r="G1200" s="1405"/>
      <c r="H1200" s="1405"/>
      <c r="I1200" s="1405"/>
      <c r="J1200" s="1405"/>
      <c r="K1200" s="1405"/>
      <c r="L1200" s="1405"/>
      <c r="M1200" s="1405"/>
      <c r="S1200" s="1731"/>
    </row>
    <row r="1201" spans="1:19" x14ac:dyDescent="0.2">
      <c r="A1201" s="1402"/>
      <c r="B1201" s="1405"/>
      <c r="C1201" s="1407"/>
      <c r="D1201" s="1405"/>
      <c r="E1201" s="1405"/>
      <c r="F1201" s="1405"/>
      <c r="G1201" s="1405"/>
      <c r="H1201" s="1405"/>
      <c r="I1201" s="1405"/>
      <c r="J1201" s="1405"/>
      <c r="K1201" s="1405"/>
      <c r="L1201" s="1405"/>
      <c r="M1201" s="1405"/>
      <c r="S1201" s="1731"/>
    </row>
    <row r="1202" spans="1:19" x14ac:dyDescent="0.2">
      <c r="A1202" s="1402"/>
      <c r="B1202" s="1405"/>
      <c r="C1202" s="1407"/>
      <c r="D1202" s="1405"/>
      <c r="E1202" s="1405"/>
      <c r="F1202" s="1405"/>
      <c r="G1202" s="1405"/>
      <c r="H1202" s="1405"/>
      <c r="I1202" s="1405"/>
      <c r="J1202" s="1405"/>
      <c r="K1202" s="1405"/>
      <c r="L1202" s="1405"/>
      <c r="M1202" s="1405"/>
      <c r="S1202" s="1731"/>
    </row>
    <row r="1203" spans="1:19" x14ac:dyDescent="0.2">
      <c r="A1203" s="1402"/>
      <c r="B1203" s="1405"/>
      <c r="C1203" s="1407"/>
      <c r="D1203" s="1405"/>
      <c r="E1203" s="1405"/>
      <c r="F1203" s="1405"/>
      <c r="G1203" s="1405"/>
      <c r="H1203" s="1405"/>
      <c r="I1203" s="1405"/>
      <c r="J1203" s="1405"/>
      <c r="K1203" s="1405"/>
      <c r="L1203" s="1405"/>
      <c r="M1203" s="1405"/>
      <c r="S1203" s="1731"/>
    </row>
    <row r="1204" spans="1:19" x14ac:dyDescent="0.2">
      <c r="A1204" s="1402"/>
      <c r="B1204" s="1405"/>
      <c r="C1204" s="1407"/>
      <c r="D1204" s="1405"/>
      <c r="E1204" s="1405"/>
      <c r="F1204" s="1405"/>
      <c r="G1204" s="1405"/>
      <c r="H1204" s="1405"/>
      <c r="I1204" s="1405"/>
      <c r="J1204" s="1405"/>
      <c r="K1204" s="1405"/>
      <c r="L1204" s="1405"/>
      <c r="M1204" s="1405"/>
      <c r="S1204" s="1731"/>
    </row>
    <row r="1205" spans="1:19" x14ac:dyDescent="0.2">
      <c r="A1205" s="1402"/>
      <c r="B1205" s="1405"/>
      <c r="C1205" s="1407"/>
      <c r="D1205" s="1405"/>
      <c r="E1205" s="1405"/>
      <c r="F1205" s="1405"/>
      <c r="G1205" s="1405"/>
      <c r="H1205" s="1405"/>
      <c r="I1205" s="1405"/>
      <c r="J1205" s="1405"/>
      <c r="K1205" s="1405"/>
      <c r="L1205" s="1405"/>
      <c r="M1205" s="1405"/>
      <c r="S1205" s="1731"/>
    </row>
    <row r="1206" spans="1:19" x14ac:dyDescent="0.2">
      <c r="A1206" s="1402"/>
      <c r="B1206" s="1405"/>
      <c r="C1206" s="1407"/>
      <c r="D1206" s="1405"/>
      <c r="E1206" s="1405"/>
      <c r="F1206" s="1405"/>
      <c r="G1206" s="1405"/>
      <c r="H1206" s="1405"/>
      <c r="I1206" s="1405"/>
      <c r="J1206" s="1405"/>
      <c r="K1206" s="1405"/>
      <c r="L1206" s="1405"/>
      <c r="M1206" s="1405"/>
      <c r="S1206" s="1731"/>
    </row>
    <row r="1207" spans="1:19" x14ac:dyDescent="0.2">
      <c r="A1207" s="1402"/>
      <c r="B1207" s="1405"/>
      <c r="C1207" s="1407"/>
      <c r="D1207" s="1405"/>
      <c r="E1207" s="1405"/>
      <c r="F1207" s="1405"/>
      <c r="G1207" s="1405"/>
      <c r="H1207" s="1405"/>
      <c r="I1207" s="1405"/>
      <c r="J1207" s="1405"/>
      <c r="K1207" s="1405"/>
      <c r="L1207" s="1405"/>
      <c r="M1207" s="1405"/>
      <c r="S1207" s="1731"/>
    </row>
    <row r="1208" spans="1:19" x14ac:dyDescent="0.2">
      <c r="A1208" s="1402"/>
      <c r="B1208" s="1405"/>
      <c r="C1208" s="1407"/>
      <c r="D1208" s="1405"/>
      <c r="E1208" s="1405"/>
      <c r="F1208" s="1405"/>
      <c r="G1208" s="1405"/>
      <c r="H1208" s="1405"/>
      <c r="I1208" s="1405"/>
      <c r="J1208" s="1405"/>
      <c r="K1208" s="1405"/>
      <c r="L1208" s="1405"/>
      <c r="M1208" s="1405"/>
      <c r="S1208" s="1731"/>
    </row>
    <row r="1209" spans="1:19" x14ac:dyDescent="0.2">
      <c r="A1209" s="1402"/>
      <c r="B1209" s="1405"/>
      <c r="C1209" s="1407"/>
      <c r="D1209" s="1405"/>
      <c r="E1209" s="1405"/>
      <c r="F1209" s="1405"/>
      <c r="G1209" s="1405"/>
      <c r="H1209" s="1405"/>
      <c r="I1209" s="1405"/>
      <c r="J1209" s="1405"/>
      <c r="K1209" s="1405"/>
      <c r="L1209" s="1405"/>
      <c r="M1209" s="1405"/>
      <c r="S1209" s="1731"/>
    </row>
    <row r="1210" spans="1:19" x14ac:dyDescent="0.2">
      <c r="A1210" s="1402"/>
      <c r="B1210" s="1405"/>
      <c r="C1210" s="1407"/>
      <c r="D1210" s="1405"/>
      <c r="E1210" s="1405"/>
      <c r="F1210" s="1405"/>
      <c r="G1210" s="1405"/>
      <c r="H1210" s="1405"/>
      <c r="I1210" s="1405"/>
      <c r="J1210" s="1405"/>
      <c r="K1210" s="1405"/>
      <c r="L1210" s="1405"/>
      <c r="M1210" s="1405"/>
      <c r="S1210" s="1731"/>
    </row>
    <row r="1211" spans="1:19" x14ac:dyDescent="0.2">
      <c r="A1211" s="1402"/>
      <c r="B1211" s="1405"/>
      <c r="C1211" s="1407"/>
      <c r="D1211" s="1405"/>
      <c r="E1211" s="1405"/>
      <c r="F1211" s="1405"/>
      <c r="G1211" s="1405"/>
      <c r="H1211" s="1405"/>
      <c r="I1211" s="1405"/>
      <c r="J1211" s="1405"/>
      <c r="K1211" s="1405"/>
      <c r="L1211" s="1405"/>
      <c r="M1211" s="1405"/>
      <c r="S1211" s="1731"/>
    </row>
    <row r="1212" spans="1:19" x14ac:dyDescent="0.2">
      <c r="A1212" s="1402"/>
      <c r="B1212" s="1405"/>
      <c r="C1212" s="1407"/>
      <c r="D1212" s="1405"/>
      <c r="E1212" s="1405"/>
      <c r="F1212" s="1405"/>
      <c r="G1212" s="1405"/>
      <c r="H1212" s="1405"/>
      <c r="I1212" s="1405"/>
      <c r="J1212" s="1405"/>
      <c r="K1212" s="1405"/>
      <c r="L1212" s="1405"/>
      <c r="M1212" s="1405"/>
      <c r="S1212" s="1731"/>
    </row>
    <row r="1213" spans="1:19" x14ac:dyDescent="0.2">
      <c r="A1213" s="1402"/>
      <c r="B1213" s="1405"/>
      <c r="C1213" s="1407"/>
      <c r="D1213" s="1405"/>
      <c r="E1213" s="1405"/>
      <c r="F1213" s="1405"/>
      <c r="G1213" s="1405"/>
      <c r="H1213" s="1405"/>
      <c r="I1213" s="1405"/>
      <c r="J1213" s="1405"/>
      <c r="K1213" s="1405"/>
      <c r="L1213" s="1405"/>
      <c r="M1213" s="1405"/>
      <c r="S1213" s="1731"/>
    </row>
    <row r="1214" spans="1:19" x14ac:dyDescent="0.2">
      <c r="A1214" s="1402"/>
      <c r="B1214" s="1405"/>
      <c r="C1214" s="1407"/>
      <c r="D1214" s="1405"/>
      <c r="E1214" s="1405"/>
      <c r="F1214" s="1405"/>
      <c r="G1214" s="1405"/>
      <c r="H1214" s="1405"/>
      <c r="I1214" s="1405"/>
      <c r="J1214" s="1405"/>
      <c r="K1214" s="1405"/>
      <c r="L1214" s="1405"/>
      <c r="M1214" s="1405"/>
      <c r="S1214" s="1731"/>
    </row>
    <row r="1215" spans="1:19" x14ac:dyDescent="0.2">
      <c r="A1215" s="1402"/>
      <c r="B1215" s="1405"/>
      <c r="C1215" s="1407"/>
      <c r="D1215" s="1405"/>
      <c r="E1215" s="1405"/>
      <c r="F1215" s="1405"/>
      <c r="G1215" s="1405"/>
      <c r="H1215" s="1405"/>
      <c r="I1215" s="1405"/>
      <c r="J1215" s="1405"/>
      <c r="K1215" s="1405"/>
      <c r="L1215" s="1405"/>
      <c r="M1215" s="1405"/>
      <c r="S1215" s="1731"/>
    </row>
    <row r="1216" spans="1:19" x14ac:dyDescent="0.2">
      <c r="A1216" s="1402"/>
      <c r="B1216" s="1405"/>
      <c r="C1216" s="1407"/>
      <c r="D1216" s="1405"/>
      <c r="E1216" s="1405"/>
      <c r="F1216" s="1405"/>
      <c r="G1216" s="1405"/>
      <c r="H1216" s="1405"/>
      <c r="I1216" s="1405"/>
      <c r="J1216" s="1405"/>
      <c r="K1216" s="1405"/>
      <c r="L1216" s="1405"/>
      <c r="M1216" s="1405"/>
      <c r="S1216" s="1731"/>
    </row>
    <row r="1217" spans="1:19" x14ac:dyDescent="0.2">
      <c r="A1217" s="1402"/>
      <c r="B1217" s="1405"/>
      <c r="C1217" s="1407"/>
      <c r="D1217" s="1405"/>
      <c r="E1217" s="1405"/>
      <c r="F1217" s="1405"/>
      <c r="G1217" s="1405"/>
      <c r="H1217" s="1405"/>
      <c r="I1217" s="1405"/>
      <c r="J1217" s="1405"/>
      <c r="K1217" s="1405"/>
      <c r="L1217" s="1405"/>
      <c r="M1217" s="1405"/>
      <c r="S1217" s="1731"/>
    </row>
    <row r="1218" spans="1:19" x14ac:dyDescent="0.2">
      <c r="A1218" s="1402"/>
      <c r="B1218" s="1405"/>
      <c r="C1218" s="1407"/>
      <c r="D1218" s="1405"/>
      <c r="E1218" s="1405"/>
      <c r="F1218" s="1405"/>
      <c r="G1218" s="1405"/>
      <c r="H1218" s="1405"/>
      <c r="I1218" s="1405"/>
      <c r="J1218" s="1405"/>
      <c r="K1218" s="1405"/>
      <c r="L1218" s="1405"/>
      <c r="M1218" s="1405"/>
      <c r="S1218" s="1731"/>
    </row>
    <row r="1219" spans="1:19" x14ac:dyDescent="0.2">
      <c r="A1219" s="1402"/>
      <c r="B1219" s="1405"/>
      <c r="C1219" s="1407"/>
      <c r="D1219" s="1405"/>
      <c r="E1219" s="1405"/>
      <c r="F1219" s="1405"/>
      <c r="G1219" s="1405"/>
      <c r="H1219" s="1405"/>
      <c r="I1219" s="1405"/>
      <c r="J1219" s="1405"/>
      <c r="K1219" s="1405"/>
      <c r="L1219" s="1405"/>
      <c r="M1219" s="1405"/>
      <c r="S1219" s="1731"/>
    </row>
    <row r="1220" spans="1:19" x14ac:dyDescent="0.2">
      <c r="A1220" s="1402"/>
      <c r="B1220" s="1405"/>
      <c r="C1220" s="1407"/>
      <c r="D1220" s="1405"/>
      <c r="E1220" s="1405"/>
      <c r="F1220" s="1405"/>
      <c r="G1220" s="1405"/>
      <c r="H1220" s="1405"/>
      <c r="I1220" s="1405"/>
      <c r="J1220" s="1405"/>
      <c r="K1220" s="1405"/>
      <c r="L1220" s="1405"/>
      <c r="M1220" s="1405"/>
      <c r="S1220" s="1731"/>
    </row>
    <row r="1221" spans="1:19" x14ac:dyDescent="0.2">
      <c r="A1221" s="1402"/>
      <c r="B1221" s="1405"/>
      <c r="C1221" s="1407"/>
      <c r="D1221" s="1405"/>
      <c r="E1221" s="1405"/>
      <c r="F1221" s="1405"/>
      <c r="G1221" s="1405"/>
      <c r="H1221" s="1405"/>
      <c r="I1221" s="1405"/>
      <c r="J1221" s="1405"/>
      <c r="K1221" s="1405"/>
      <c r="L1221" s="1405"/>
      <c r="M1221" s="1405"/>
      <c r="S1221" s="1731"/>
    </row>
    <row r="1222" spans="1:19" x14ac:dyDescent="0.2">
      <c r="A1222" s="1402"/>
      <c r="B1222" s="1405"/>
      <c r="C1222" s="1407"/>
      <c r="D1222" s="1405"/>
      <c r="E1222" s="1405"/>
      <c r="F1222" s="1405"/>
      <c r="G1222" s="1405"/>
      <c r="H1222" s="1405"/>
      <c r="I1222" s="1405"/>
      <c r="J1222" s="1405"/>
      <c r="K1222" s="1405"/>
      <c r="L1222" s="1405"/>
      <c r="M1222" s="1405"/>
      <c r="S1222" s="1731"/>
    </row>
    <row r="1223" spans="1:19" x14ac:dyDescent="0.2">
      <c r="A1223" s="1402"/>
      <c r="B1223" s="1405"/>
      <c r="C1223" s="1407"/>
      <c r="D1223" s="1405"/>
      <c r="E1223" s="1405"/>
      <c r="F1223" s="1405"/>
      <c r="G1223" s="1405"/>
      <c r="H1223" s="1405"/>
      <c r="I1223" s="1405"/>
      <c r="J1223" s="1405"/>
      <c r="K1223" s="1405"/>
      <c r="L1223" s="1405"/>
      <c r="M1223" s="1405"/>
      <c r="S1223" s="1731"/>
    </row>
    <row r="1224" spans="1:19" x14ac:dyDescent="0.2">
      <c r="A1224" s="1402"/>
      <c r="B1224" s="1405"/>
      <c r="C1224" s="1407"/>
      <c r="D1224" s="1405"/>
      <c r="E1224" s="1405"/>
      <c r="F1224" s="1405"/>
      <c r="G1224" s="1405"/>
      <c r="H1224" s="1405"/>
      <c r="I1224" s="1405"/>
      <c r="J1224" s="1405"/>
      <c r="K1224" s="1405"/>
      <c r="L1224" s="1405"/>
      <c r="M1224" s="1405"/>
      <c r="S1224" s="1731"/>
    </row>
    <row r="1225" spans="1:19" x14ac:dyDescent="0.2">
      <c r="A1225" s="1402"/>
      <c r="B1225" s="1405"/>
      <c r="C1225" s="1407"/>
      <c r="D1225" s="1405"/>
      <c r="E1225" s="1405"/>
      <c r="F1225" s="1405"/>
      <c r="G1225" s="1405"/>
      <c r="H1225" s="1405"/>
      <c r="I1225" s="1405"/>
      <c r="J1225" s="1405"/>
      <c r="K1225" s="1405"/>
      <c r="L1225" s="1405"/>
      <c r="M1225" s="1405"/>
      <c r="S1225" s="1731"/>
    </row>
    <row r="1226" spans="1:19" x14ac:dyDescent="0.2">
      <c r="A1226" s="1402"/>
      <c r="B1226" s="1405"/>
      <c r="C1226" s="1407"/>
      <c r="D1226" s="1405"/>
      <c r="E1226" s="1405"/>
      <c r="F1226" s="1405"/>
      <c r="G1226" s="1405"/>
      <c r="H1226" s="1405"/>
      <c r="I1226" s="1405"/>
      <c r="J1226" s="1405"/>
      <c r="K1226" s="1405"/>
      <c r="L1226" s="1405"/>
      <c r="M1226" s="1405"/>
      <c r="S1226" s="1731"/>
    </row>
    <row r="1227" spans="1:19" x14ac:dyDescent="0.2">
      <c r="A1227" s="1402"/>
      <c r="B1227" s="1405"/>
      <c r="C1227" s="1407"/>
      <c r="D1227" s="1405"/>
      <c r="E1227" s="1405"/>
      <c r="F1227" s="1405"/>
      <c r="G1227" s="1405"/>
      <c r="H1227" s="1405"/>
      <c r="I1227" s="1405"/>
      <c r="J1227" s="1405"/>
      <c r="K1227" s="1405"/>
      <c r="L1227" s="1405"/>
      <c r="M1227" s="1405"/>
      <c r="S1227" s="1731"/>
    </row>
    <row r="1228" spans="1:19" x14ac:dyDescent="0.2">
      <c r="A1228" s="1402"/>
      <c r="B1228" s="1405"/>
      <c r="C1228" s="1407"/>
      <c r="D1228" s="1405"/>
      <c r="E1228" s="1405"/>
      <c r="F1228" s="1405"/>
      <c r="G1228" s="1405"/>
      <c r="H1228" s="1405"/>
      <c r="I1228" s="1405"/>
      <c r="J1228" s="1405"/>
      <c r="K1228" s="1405"/>
      <c r="L1228" s="1405"/>
      <c r="M1228" s="1405"/>
      <c r="S1228" s="1731"/>
    </row>
    <row r="1229" spans="1:19" x14ac:dyDescent="0.2">
      <c r="A1229" s="1402"/>
      <c r="B1229" s="1405"/>
      <c r="C1229" s="1407"/>
      <c r="D1229" s="1405"/>
      <c r="E1229" s="1405"/>
      <c r="F1229" s="1405"/>
      <c r="G1229" s="1405"/>
      <c r="H1229" s="1405"/>
      <c r="I1229" s="1405"/>
      <c r="J1229" s="1405"/>
      <c r="K1229" s="1405"/>
      <c r="L1229" s="1405"/>
      <c r="M1229" s="1405"/>
      <c r="S1229" s="1731"/>
    </row>
    <row r="1230" spans="1:19" x14ac:dyDescent="0.2">
      <c r="A1230" s="1402"/>
      <c r="B1230" s="1405"/>
      <c r="C1230" s="1407"/>
      <c r="D1230" s="1405"/>
      <c r="E1230" s="1405"/>
      <c r="F1230" s="1405"/>
      <c r="G1230" s="1405"/>
      <c r="H1230" s="1405"/>
      <c r="I1230" s="1405"/>
      <c r="J1230" s="1405"/>
      <c r="K1230" s="1405"/>
      <c r="L1230" s="1405"/>
      <c r="M1230" s="1405"/>
      <c r="S1230" s="1731"/>
    </row>
    <row r="1231" spans="1:19" x14ac:dyDescent="0.2">
      <c r="A1231" s="1402"/>
      <c r="B1231" s="1405"/>
      <c r="C1231" s="1407"/>
      <c r="D1231" s="1405"/>
      <c r="E1231" s="1405"/>
      <c r="F1231" s="1405"/>
      <c r="G1231" s="1405"/>
      <c r="H1231" s="1405"/>
      <c r="I1231" s="1405"/>
      <c r="J1231" s="1405"/>
      <c r="K1231" s="1405"/>
      <c r="L1231" s="1405"/>
      <c r="M1231" s="1405"/>
      <c r="S1231" s="1731"/>
    </row>
    <row r="1232" spans="1:19" x14ac:dyDescent="0.2">
      <c r="A1232" s="1402"/>
      <c r="B1232" s="1405"/>
      <c r="C1232" s="1407"/>
      <c r="D1232" s="1405"/>
      <c r="E1232" s="1405"/>
      <c r="F1232" s="1405"/>
      <c r="G1232" s="1405"/>
      <c r="H1232" s="1405"/>
      <c r="I1232" s="1405"/>
      <c r="J1232" s="1405"/>
      <c r="K1232" s="1405"/>
      <c r="L1232" s="1405"/>
      <c r="M1232" s="1405"/>
      <c r="S1232" s="1731"/>
    </row>
    <row r="1233" spans="1:19" x14ac:dyDescent="0.2">
      <c r="A1233" s="1402"/>
      <c r="B1233" s="1405"/>
      <c r="C1233" s="1407"/>
      <c r="D1233" s="1405"/>
      <c r="E1233" s="1405"/>
      <c r="F1233" s="1405"/>
      <c r="G1233" s="1405"/>
      <c r="H1233" s="1405"/>
      <c r="I1233" s="1405"/>
      <c r="J1233" s="1405"/>
      <c r="K1233" s="1405"/>
      <c r="L1233" s="1405"/>
      <c r="M1233" s="1405"/>
      <c r="S1233" s="1731"/>
    </row>
    <row r="1234" spans="1:19" x14ac:dyDescent="0.2">
      <c r="A1234" s="1402"/>
      <c r="B1234" s="1405"/>
      <c r="C1234" s="1407"/>
      <c r="D1234" s="1405"/>
      <c r="E1234" s="1405"/>
      <c r="F1234" s="1405"/>
      <c r="G1234" s="1405"/>
      <c r="H1234" s="1405"/>
      <c r="I1234" s="1405"/>
      <c r="J1234" s="1405"/>
      <c r="K1234" s="1405"/>
      <c r="L1234" s="1405"/>
      <c r="M1234" s="1405"/>
      <c r="S1234" s="1731"/>
    </row>
    <row r="1235" spans="1:19" x14ac:dyDescent="0.2">
      <c r="A1235" s="1402"/>
      <c r="B1235" s="1405"/>
      <c r="C1235" s="1407"/>
      <c r="D1235" s="1405"/>
      <c r="E1235" s="1405"/>
      <c r="F1235" s="1405"/>
      <c r="G1235" s="1405"/>
      <c r="H1235" s="1405"/>
      <c r="I1235" s="1405"/>
      <c r="J1235" s="1405"/>
      <c r="K1235" s="1405"/>
      <c r="L1235" s="1405"/>
      <c r="M1235" s="1405"/>
      <c r="S1235" s="1731"/>
    </row>
    <row r="1236" spans="1:19" x14ac:dyDescent="0.2">
      <c r="A1236" s="1402"/>
      <c r="B1236" s="1405"/>
      <c r="C1236" s="1407"/>
      <c r="D1236" s="1405"/>
      <c r="E1236" s="1405"/>
      <c r="F1236" s="1405"/>
      <c r="G1236" s="1405"/>
      <c r="H1236" s="1405"/>
      <c r="I1236" s="1405"/>
      <c r="J1236" s="1405"/>
      <c r="K1236" s="1405"/>
      <c r="L1236" s="1405"/>
      <c r="M1236" s="1405"/>
      <c r="S1236" s="1731"/>
    </row>
    <row r="1237" spans="1:19" x14ac:dyDescent="0.2">
      <c r="A1237" s="1402"/>
      <c r="B1237" s="1405"/>
      <c r="C1237" s="1407"/>
      <c r="D1237" s="1405"/>
      <c r="E1237" s="1405"/>
      <c r="F1237" s="1405"/>
      <c r="G1237" s="1405"/>
      <c r="H1237" s="1405"/>
      <c r="I1237" s="1405"/>
      <c r="J1237" s="1405"/>
      <c r="K1237" s="1405"/>
      <c r="L1237" s="1405"/>
      <c r="M1237" s="1405"/>
      <c r="S1237" s="1731"/>
    </row>
    <row r="1238" spans="1:19" x14ac:dyDescent="0.2">
      <c r="A1238" s="1402"/>
      <c r="B1238" s="1405"/>
      <c r="C1238" s="1407"/>
      <c r="D1238" s="1405"/>
      <c r="E1238" s="1405"/>
      <c r="F1238" s="1405"/>
      <c r="G1238" s="1405"/>
      <c r="H1238" s="1405"/>
      <c r="I1238" s="1405"/>
      <c r="J1238" s="1405"/>
      <c r="K1238" s="1405"/>
      <c r="L1238" s="1405"/>
      <c r="M1238" s="1405"/>
      <c r="S1238" s="1731"/>
    </row>
    <row r="1239" spans="1:19" x14ac:dyDescent="0.2">
      <c r="A1239" s="1402"/>
      <c r="B1239" s="1405"/>
      <c r="C1239" s="1407"/>
      <c r="D1239" s="1405"/>
      <c r="E1239" s="1405"/>
      <c r="F1239" s="1405"/>
      <c r="G1239" s="1405"/>
      <c r="H1239" s="1405"/>
      <c r="I1239" s="1405"/>
      <c r="J1239" s="1405"/>
      <c r="K1239" s="1405"/>
      <c r="L1239" s="1405"/>
      <c r="M1239" s="1405"/>
      <c r="S1239" s="1731"/>
    </row>
    <row r="1240" spans="1:19" x14ac:dyDescent="0.2">
      <c r="A1240" s="1402"/>
      <c r="B1240" s="1405"/>
      <c r="C1240" s="1407"/>
      <c r="D1240" s="1405"/>
      <c r="E1240" s="1405"/>
      <c r="F1240" s="1405"/>
      <c r="G1240" s="1405"/>
      <c r="H1240" s="1405"/>
      <c r="I1240" s="1405"/>
      <c r="J1240" s="1405"/>
      <c r="K1240" s="1405"/>
      <c r="L1240" s="1405"/>
      <c r="M1240" s="1405"/>
      <c r="S1240" s="1731"/>
    </row>
    <row r="1241" spans="1:19" x14ac:dyDescent="0.2">
      <c r="A1241" s="1402"/>
      <c r="B1241" s="1405"/>
      <c r="C1241" s="1407"/>
      <c r="D1241" s="1405"/>
      <c r="E1241" s="1405"/>
      <c r="F1241" s="1405"/>
      <c r="G1241" s="1405"/>
      <c r="H1241" s="1405"/>
      <c r="I1241" s="1405"/>
      <c r="J1241" s="1405"/>
      <c r="K1241" s="1405"/>
      <c r="L1241" s="1405"/>
      <c r="M1241" s="1405"/>
      <c r="S1241" s="1731"/>
    </row>
    <row r="1242" spans="1:19" x14ac:dyDescent="0.2">
      <c r="A1242" s="1402"/>
      <c r="B1242" s="1405"/>
      <c r="C1242" s="1407"/>
      <c r="D1242" s="1405"/>
      <c r="E1242" s="1405"/>
      <c r="F1242" s="1405"/>
      <c r="G1242" s="1405"/>
      <c r="H1242" s="1405"/>
      <c r="I1242" s="1405"/>
      <c r="J1242" s="1405"/>
      <c r="K1242" s="1405"/>
      <c r="L1242" s="1405"/>
      <c r="M1242" s="1405"/>
      <c r="S1242" s="1731"/>
    </row>
    <row r="1243" spans="1:19" x14ac:dyDescent="0.2">
      <c r="A1243" s="1402"/>
      <c r="B1243" s="1405"/>
      <c r="C1243" s="1407"/>
      <c r="D1243" s="1405"/>
      <c r="E1243" s="1405"/>
      <c r="F1243" s="1405"/>
      <c r="G1243" s="1405"/>
      <c r="H1243" s="1405"/>
      <c r="I1243" s="1405"/>
      <c r="J1243" s="1405"/>
      <c r="K1243" s="1405"/>
      <c r="L1243" s="1405"/>
      <c r="M1243" s="1405"/>
      <c r="S1243" s="1731"/>
    </row>
    <row r="1244" spans="1:19" x14ac:dyDescent="0.2">
      <c r="A1244" s="1402"/>
      <c r="B1244" s="1405"/>
      <c r="C1244" s="1407"/>
      <c r="D1244" s="1405"/>
      <c r="E1244" s="1405"/>
      <c r="F1244" s="1405"/>
      <c r="G1244" s="1405"/>
      <c r="H1244" s="1405"/>
      <c r="I1244" s="1405"/>
      <c r="J1244" s="1405"/>
      <c r="K1244" s="1405"/>
      <c r="L1244" s="1405"/>
      <c r="M1244" s="1405"/>
      <c r="S1244" s="1731"/>
    </row>
    <row r="1245" spans="1:19" x14ac:dyDescent="0.2">
      <c r="A1245" s="1402"/>
      <c r="B1245" s="1405"/>
      <c r="C1245" s="1407"/>
      <c r="D1245" s="1405"/>
      <c r="E1245" s="1405"/>
      <c r="F1245" s="1405"/>
      <c r="G1245" s="1405"/>
      <c r="H1245" s="1405"/>
      <c r="I1245" s="1405"/>
      <c r="J1245" s="1405"/>
      <c r="K1245" s="1405"/>
      <c r="L1245" s="1405"/>
      <c r="M1245" s="1405"/>
      <c r="S1245" s="1731"/>
    </row>
    <row r="1246" spans="1:19" x14ac:dyDescent="0.2">
      <c r="A1246" s="1402"/>
      <c r="B1246" s="1405"/>
      <c r="C1246" s="1407"/>
      <c r="D1246" s="1405"/>
      <c r="E1246" s="1405"/>
      <c r="F1246" s="1405"/>
      <c r="G1246" s="1405"/>
      <c r="H1246" s="1405"/>
      <c r="I1246" s="1405"/>
      <c r="J1246" s="1405"/>
      <c r="K1246" s="1405"/>
      <c r="L1246" s="1405"/>
      <c r="M1246" s="1405"/>
      <c r="S1246" s="1731"/>
    </row>
    <row r="1247" spans="1:19" x14ac:dyDescent="0.2">
      <c r="A1247" s="1402"/>
      <c r="B1247" s="1405"/>
      <c r="C1247" s="1407"/>
      <c r="D1247" s="1405"/>
      <c r="E1247" s="1405"/>
      <c r="F1247" s="1405"/>
      <c r="G1247" s="1405"/>
      <c r="H1247" s="1405"/>
      <c r="I1247" s="1405"/>
      <c r="J1247" s="1405"/>
      <c r="K1247" s="1405"/>
      <c r="L1247" s="1405"/>
      <c r="M1247" s="1405"/>
      <c r="S1247" s="1731"/>
    </row>
    <row r="1248" spans="1:19" x14ac:dyDescent="0.2">
      <c r="A1248" s="1402"/>
      <c r="B1248" s="1405"/>
      <c r="C1248" s="1407"/>
      <c r="D1248" s="1405"/>
      <c r="E1248" s="1405"/>
      <c r="F1248" s="1405"/>
      <c r="G1248" s="1405"/>
      <c r="H1248" s="1405"/>
      <c r="I1248" s="1405"/>
      <c r="J1248" s="1405"/>
      <c r="K1248" s="1405"/>
      <c r="L1248" s="1405"/>
      <c r="M1248" s="1405"/>
      <c r="S1248" s="1731"/>
    </row>
    <row r="1249" spans="1:19" x14ac:dyDescent="0.2">
      <c r="A1249" s="1402"/>
      <c r="B1249" s="1405"/>
      <c r="C1249" s="1407"/>
      <c r="D1249" s="1405"/>
      <c r="E1249" s="1405"/>
      <c r="F1249" s="1405"/>
      <c r="G1249" s="1405"/>
      <c r="H1249" s="1405"/>
      <c r="I1249" s="1405"/>
      <c r="J1249" s="1405"/>
      <c r="K1249" s="1405"/>
      <c r="L1249" s="1405"/>
      <c r="M1249" s="1405"/>
      <c r="S1249" s="1731"/>
    </row>
    <row r="1250" spans="1:19" x14ac:dyDescent="0.2">
      <c r="A1250" s="1402"/>
      <c r="B1250" s="1405"/>
      <c r="C1250" s="1407"/>
      <c r="D1250" s="1405"/>
      <c r="E1250" s="1405"/>
      <c r="F1250" s="1405"/>
      <c r="G1250" s="1405"/>
      <c r="H1250" s="1405"/>
      <c r="I1250" s="1405"/>
      <c r="J1250" s="1405"/>
      <c r="K1250" s="1405"/>
      <c r="L1250" s="1405"/>
      <c r="M1250" s="1405"/>
      <c r="S1250" s="1731"/>
    </row>
    <row r="1251" spans="1:19" x14ac:dyDescent="0.2">
      <c r="A1251" s="1402"/>
      <c r="B1251" s="1405"/>
      <c r="C1251" s="1407"/>
      <c r="D1251" s="1405"/>
      <c r="E1251" s="1405"/>
      <c r="F1251" s="1405"/>
      <c r="G1251" s="1405"/>
      <c r="H1251" s="1405"/>
      <c r="I1251" s="1405"/>
      <c r="J1251" s="1405"/>
      <c r="K1251" s="1405"/>
      <c r="L1251" s="1405"/>
      <c r="M1251" s="1405"/>
      <c r="S1251" s="1731"/>
    </row>
    <row r="1252" spans="1:19" x14ac:dyDescent="0.2">
      <c r="A1252" s="1402"/>
      <c r="B1252" s="1405"/>
      <c r="C1252" s="1407"/>
      <c r="D1252" s="1405"/>
      <c r="E1252" s="1405"/>
      <c r="F1252" s="1405"/>
      <c r="G1252" s="1405"/>
      <c r="H1252" s="1405"/>
      <c r="I1252" s="1405"/>
      <c r="J1252" s="1405"/>
      <c r="K1252" s="1405"/>
      <c r="L1252" s="1405"/>
      <c r="M1252" s="1405"/>
      <c r="S1252" s="1731"/>
    </row>
    <row r="1253" spans="1:19" x14ac:dyDescent="0.2">
      <c r="A1253" s="1402"/>
      <c r="B1253" s="1405"/>
      <c r="C1253" s="1407"/>
      <c r="D1253" s="1405"/>
      <c r="E1253" s="1405"/>
      <c r="F1253" s="1405"/>
      <c r="G1253" s="1405"/>
      <c r="H1253" s="1405"/>
      <c r="I1253" s="1405"/>
      <c r="J1253" s="1405"/>
      <c r="K1253" s="1405"/>
      <c r="L1253" s="1405"/>
      <c r="M1253" s="1405"/>
      <c r="S1253" s="1731"/>
    </row>
    <row r="1254" spans="1:19" x14ac:dyDescent="0.2">
      <c r="A1254" s="1402"/>
      <c r="B1254" s="1405"/>
      <c r="C1254" s="1407"/>
      <c r="D1254" s="1405"/>
      <c r="E1254" s="1405"/>
      <c r="F1254" s="1405"/>
      <c r="G1254" s="1405"/>
      <c r="H1254" s="1405"/>
      <c r="I1254" s="1405"/>
      <c r="J1254" s="1405"/>
      <c r="K1254" s="1405"/>
      <c r="L1254" s="1405"/>
      <c r="M1254" s="1405"/>
      <c r="S1254" s="1731"/>
    </row>
    <row r="1255" spans="1:19" x14ac:dyDescent="0.2">
      <c r="A1255" s="1402"/>
      <c r="B1255" s="1405"/>
      <c r="C1255" s="1407"/>
      <c r="D1255" s="1405"/>
      <c r="E1255" s="1405"/>
      <c r="F1255" s="1405"/>
      <c r="G1255" s="1405"/>
      <c r="H1255" s="1405"/>
      <c r="I1255" s="1405"/>
      <c r="J1255" s="1405"/>
      <c r="K1255" s="1405"/>
      <c r="L1255" s="1405"/>
      <c r="M1255" s="1405"/>
      <c r="S1255" s="1731"/>
    </row>
    <row r="1256" spans="1:19" x14ac:dyDescent="0.2">
      <c r="A1256" s="1402"/>
      <c r="B1256" s="1405"/>
      <c r="C1256" s="1407"/>
      <c r="D1256" s="1405"/>
      <c r="E1256" s="1405"/>
      <c r="F1256" s="1405"/>
      <c r="G1256" s="1405"/>
      <c r="H1256" s="1405"/>
      <c r="I1256" s="1405"/>
      <c r="J1256" s="1405"/>
      <c r="K1256" s="1405"/>
      <c r="L1256" s="1405"/>
      <c r="M1256" s="1405"/>
      <c r="S1256" s="1731"/>
    </row>
    <row r="1257" spans="1:19" x14ac:dyDescent="0.2">
      <c r="A1257" s="1402"/>
      <c r="B1257" s="1405"/>
      <c r="C1257" s="1407"/>
      <c r="D1257" s="1405"/>
      <c r="E1257" s="1405"/>
      <c r="F1257" s="1405"/>
      <c r="G1257" s="1405"/>
      <c r="H1257" s="1405"/>
      <c r="I1257" s="1405"/>
      <c r="J1257" s="1405"/>
      <c r="K1257" s="1405"/>
      <c r="L1257" s="1405"/>
      <c r="M1257" s="1405"/>
      <c r="S1257" s="1731"/>
    </row>
    <row r="1258" spans="1:19" x14ac:dyDescent="0.2">
      <c r="A1258" s="1402"/>
      <c r="B1258" s="1405"/>
      <c r="C1258" s="1407"/>
      <c r="D1258" s="1405"/>
      <c r="E1258" s="1405"/>
      <c r="F1258" s="1405"/>
      <c r="G1258" s="1405"/>
      <c r="H1258" s="1405"/>
      <c r="I1258" s="1405"/>
      <c r="J1258" s="1405"/>
      <c r="K1258" s="1405"/>
      <c r="L1258" s="1405"/>
      <c r="M1258" s="1405"/>
      <c r="S1258" s="1731"/>
    </row>
    <row r="1259" spans="1:19" x14ac:dyDescent="0.2">
      <c r="A1259" s="1402"/>
      <c r="B1259" s="1405"/>
      <c r="C1259" s="1407"/>
      <c r="D1259" s="1405"/>
      <c r="E1259" s="1405"/>
      <c r="F1259" s="1405"/>
      <c r="G1259" s="1405"/>
      <c r="H1259" s="1405"/>
      <c r="I1259" s="1405"/>
      <c r="J1259" s="1405"/>
      <c r="K1259" s="1405"/>
      <c r="L1259" s="1405"/>
      <c r="M1259" s="1405"/>
      <c r="S1259" s="1731"/>
    </row>
    <row r="1260" spans="1:19" x14ac:dyDescent="0.2">
      <c r="A1260" s="1402"/>
      <c r="B1260" s="1405"/>
      <c r="C1260" s="1407"/>
      <c r="D1260" s="1405"/>
      <c r="E1260" s="1405"/>
      <c r="F1260" s="1405"/>
      <c r="G1260" s="1405"/>
      <c r="H1260" s="1405"/>
      <c r="I1260" s="1405"/>
      <c r="J1260" s="1405"/>
      <c r="K1260" s="1405"/>
      <c r="L1260" s="1405"/>
      <c r="M1260" s="1405"/>
      <c r="S1260" s="1731"/>
    </row>
    <row r="1261" spans="1:19" x14ac:dyDescent="0.2">
      <c r="A1261" s="1402"/>
      <c r="B1261" s="1405"/>
      <c r="C1261" s="1407"/>
      <c r="D1261" s="1405"/>
      <c r="E1261" s="1405"/>
      <c r="F1261" s="1405"/>
      <c r="G1261" s="1405"/>
      <c r="H1261" s="1405"/>
      <c r="I1261" s="1405"/>
      <c r="J1261" s="1405"/>
      <c r="K1261" s="1405"/>
      <c r="L1261" s="1405"/>
      <c r="M1261" s="1405"/>
      <c r="S1261" s="1731"/>
    </row>
    <row r="1262" spans="1:19" x14ac:dyDescent="0.2">
      <c r="A1262" s="1402"/>
      <c r="B1262" s="1405"/>
      <c r="C1262" s="1407"/>
      <c r="D1262" s="1405"/>
      <c r="E1262" s="1405"/>
      <c r="F1262" s="1405"/>
      <c r="G1262" s="1405"/>
      <c r="H1262" s="1405"/>
      <c r="I1262" s="1405"/>
      <c r="J1262" s="1405"/>
      <c r="K1262" s="1405"/>
      <c r="L1262" s="1405"/>
      <c r="M1262" s="1405"/>
      <c r="S1262" s="1731"/>
    </row>
    <row r="1263" spans="1:19" x14ac:dyDescent="0.2">
      <c r="A1263" s="1402"/>
      <c r="B1263" s="1405"/>
      <c r="C1263" s="1407"/>
      <c r="D1263" s="1405"/>
      <c r="E1263" s="1405"/>
      <c r="F1263" s="1405"/>
      <c r="G1263" s="1405"/>
      <c r="H1263" s="1405"/>
      <c r="I1263" s="1405"/>
      <c r="J1263" s="1405"/>
      <c r="K1263" s="1405"/>
      <c r="L1263" s="1405"/>
      <c r="M1263" s="1405"/>
      <c r="S1263" s="1731"/>
    </row>
    <row r="1264" spans="1:19" x14ac:dyDescent="0.2">
      <c r="A1264" s="1402"/>
      <c r="B1264" s="1405"/>
      <c r="C1264" s="1407"/>
      <c r="D1264" s="1405"/>
      <c r="E1264" s="1405"/>
      <c r="F1264" s="1405"/>
      <c r="G1264" s="1405"/>
      <c r="H1264" s="1405"/>
      <c r="I1264" s="1405"/>
      <c r="J1264" s="1405"/>
      <c r="K1264" s="1405"/>
      <c r="L1264" s="1405"/>
      <c r="M1264" s="1405"/>
      <c r="S1264" s="1731"/>
    </row>
    <row r="1265" spans="1:19" x14ac:dyDescent="0.2">
      <c r="A1265" s="1402"/>
      <c r="B1265" s="1405"/>
      <c r="C1265" s="1407"/>
      <c r="D1265" s="1405"/>
      <c r="E1265" s="1405"/>
      <c r="F1265" s="1405"/>
      <c r="G1265" s="1405"/>
      <c r="H1265" s="1405"/>
      <c r="I1265" s="1405"/>
      <c r="J1265" s="1405"/>
      <c r="K1265" s="1405"/>
      <c r="L1265" s="1405"/>
      <c r="M1265" s="1405"/>
      <c r="S1265" s="1731"/>
    </row>
    <row r="1266" spans="1:19" x14ac:dyDescent="0.2">
      <c r="A1266" s="1402"/>
      <c r="B1266" s="1405"/>
      <c r="C1266" s="1407"/>
      <c r="D1266" s="1405"/>
      <c r="E1266" s="1405"/>
      <c r="F1266" s="1405"/>
      <c r="G1266" s="1405"/>
      <c r="H1266" s="1405"/>
      <c r="I1266" s="1405"/>
      <c r="J1266" s="1405"/>
      <c r="K1266" s="1405"/>
      <c r="L1266" s="1405"/>
      <c r="M1266" s="1405"/>
      <c r="S1266" s="1731"/>
    </row>
    <row r="1267" spans="1:19" x14ac:dyDescent="0.2">
      <c r="A1267" s="1402"/>
      <c r="B1267" s="1405"/>
      <c r="C1267" s="1407"/>
      <c r="D1267" s="1405"/>
      <c r="E1267" s="1405"/>
      <c r="F1267" s="1405"/>
      <c r="G1267" s="1405"/>
      <c r="H1267" s="1405"/>
      <c r="I1267" s="1405"/>
      <c r="J1267" s="1405"/>
      <c r="K1267" s="1405"/>
      <c r="L1267" s="1405"/>
      <c r="M1267" s="1405"/>
      <c r="S1267" s="1731"/>
    </row>
    <row r="1268" spans="1:19" x14ac:dyDescent="0.2">
      <c r="A1268" s="1402"/>
      <c r="B1268" s="1405"/>
      <c r="C1268" s="1407"/>
      <c r="D1268" s="1405"/>
      <c r="E1268" s="1405"/>
      <c r="F1268" s="1405"/>
      <c r="G1268" s="1405"/>
      <c r="H1268" s="1405"/>
      <c r="I1268" s="1405"/>
      <c r="J1268" s="1405"/>
      <c r="K1268" s="1405"/>
      <c r="L1268" s="1405"/>
      <c r="M1268" s="1405"/>
      <c r="S1268" s="1731"/>
    </row>
    <row r="1269" spans="1:19" x14ac:dyDescent="0.2">
      <c r="A1269" s="1402"/>
      <c r="B1269" s="1405"/>
      <c r="C1269" s="1407"/>
      <c r="D1269" s="1405"/>
      <c r="E1269" s="1405"/>
      <c r="F1269" s="1405"/>
      <c r="G1269" s="1405"/>
      <c r="H1269" s="1405"/>
      <c r="I1269" s="1405"/>
      <c r="J1269" s="1405"/>
      <c r="K1269" s="1405"/>
      <c r="L1269" s="1405"/>
      <c r="M1269" s="1405"/>
      <c r="S1269" s="1731"/>
    </row>
    <row r="1270" spans="1:19" x14ac:dyDescent="0.2">
      <c r="A1270" s="1402"/>
      <c r="B1270" s="1405"/>
      <c r="C1270" s="1407"/>
      <c r="D1270" s="1405"/>
      <c r="E1270" s="1405"/>
      <c r="F1270" s="1405"/>
      <c r="G1270" s="1405"/>
      <c r="H1270" s="1405"/>
      <c r="I1270" s="1405"/>
      <c r="J1270" s="1405"/>
      <c r="K1270" s="1405"/>
      <c r="L1270" s="1405"/>
      <c r="M1270" s="1405"/>
      <c r="S1270" s="1731"/>
    </row>
    <row r="1271" spans="1:19" x14ac:dyDescent="0.2">
      <c r="A1271" s="1402"/>
      <c r="B1271" s="1405"/>
      <c r="C1271" s="1407"/>
      <c r="D1271" s="1405"/>
      <c r="E1271" s="1405"/>
      <c r="F1271" s="1405"/>
      <c r="G1271" s="1405"/>
      <c r="H1271" s="1405"/>
      <c r="I1271" s="1405"/>
      <c r="J1271" s="1405"/>
      <c r="K1271" s="1405"/>
      <c r="L1271" s="1405"/>
      <c r="M1271" s="1405"/>
      <c r="S1271" s="1731"/>
    </row>
    <row r="1272" spans="1:19" x14ac:dyDescent="0.2">
      <c r="A1272" s="1402"/>
      <c r="B1272" s="1405"/>
      <c r="C1272" s="1407"/>
      <c r="D1272" s="1405"/>
      <c r="E1272" s="1405"/>
      <c r="F1272" s="1405"/>
      <c r="G1272" s="1405"/>
      <c r="H1272" s="1405"/>
      <c r="I1272" s="1405"/>
      <c r="J1272" s="1405"/>
      <c r="K1272" s="1405"/>
      <c r="L1272" s="1405"/>
      <c r="M1272" s="1405"/>
      <c r="S1272" s="1731"/>
    </row>
    <row r="1273" spans="1:19" x14ac:dyDescent="0.2">
      <c r="A1273" s="1402"/>
      <c r="B1273" s="1405"/>
      <c r="C1273" s="1407"/>
      <c r="D1273" s="1405"/>
      <c r="E1273" s="1405"/>
      <c r="F1273" s="1405"/>
      <c r="G1273" s="1405"/>
      <c r="H1273" s="1405"/>
      <c r="I1273" s="1405"/>
      <c r="J1273" s="1405"/>
      <c r="K1273" s="1405"/>
      <c r="L1273" s="1405"/>
      <c r="M1273" s="1405"/>
      <c r="S1273" s="1731"/>
    </row>
    <row r="1274" spans="1:19" x14ac:dyDescent="0.2">
      <c r="A1274" s="1402"/>
      <c r="B1274" s="1405"/>
      <c r="C1274" s="1407"/>
      <c r="D1274" s="1405"/>
      <c r="E1274" s="1405"/>
      <c r="F1274" s="1405"/>
      <c r="G1274" s="1405"/>
      <c r="H1274" s="1405"/>
      <c r="I1274" s="1405"/>
      <c r="J1274" s="1405"/>
      <c r="K1274" s="1405"/>
      <c r="L1274" s="1405"/>
      <c r="M1274" s="1405"/>
      <c r="S1274" s="1731"/>
    </row>
    <row r="1275" spans="1:19" x14ac:dyDescent="0.2">
      <c r="A1275" s="1402"/>
      <c r="B1275" s="1405"/>
      <c r="C1275" s="1407"/>
      <c r="D1275" s="1405"/>
      <c r="E1275" s="1405"/>
      <c r="F1275" s="1405"/>
      <c r="G1275" s="1405"/>
      <c r="H1275" s="1405"/>
      <c r="I1275" s="1405"/>
      <c r="J1275" s="1405"/>
      <c r="K1275" s="1405"/>
      <c r="L1275" s="1405"/>
      <c r="M1275" s="1405"/>
      <c r="S1275" s="1731"/>
    </row>
    <row r="1276" spans="1:19" x14ac:dyDescent="0.2">
      <c r="A1276" s="1402"/>
      <c r="B1276" s="1405"/>
      <c r="C1276" s="1407"/>
      <c r="D1276" s="1405"/>
      <c r="E1276" s="1405"/>
      <c r="F1276" s="1405"/>
      <c r="G1276" s="1405"/>
      <c r="H1276" s="1405"/>
      <c r="I1276" s="1405"/>
      <c r="J1276" s="1405"/>
      <c r="K1276" s="1405"/>
      <c r="L1276" s="1405"/>
      <c r="M1276" s="1405"/>
      <c r="S1276" s="1731"/>
    </row>
    <row r="1277" spans="1:19" x14ac:dyDescent="0.2">
      <c r="A1277" s="1402"/>
      <c r="B1277" s="1405"/>
      <c r="C1277" s="1407"/>
      <c r="D1277" s="1405"/>
      <c r="E1277" s="1405"/>
      <c r="F1277" s="1405"/>
      <c r="G1277" s="1405"/>
      <c r="H1277" s="1405"/>
      <c r="I1277" s="1405"/>
      <c r="J1277" s="1405"/>
      <c r="K1277" s="1405"/>
      <c r="L1277" s="1405"/>
      <c r="M1277" s="1405"/>
      <c r="S1277" s="1731"/>
    </row>
    <row r="1278" spans="1:19" x14ac:dyDescent="0.2">
      <c r="A1278" s="1402"/>
      <c r="B1278" s="1405"/>
      <c r="C1278" s="1407"/>
      <c r="D1278" s="1405"/>
      <c r="E1278" s="1405"/>
      <c r="F1278" s="1405"/>
      <c r="G1278" s="1405"/>
      <c r="H1278" s="1405"/>
      <c r="I1278" s="1405"/>
      <c r="J1278" s="1405"/>
      <c r="K1278" s="1405"/>
      <c r="L1278" s="1405"/>
      <c r="M1278" s="1405"/>
      <c r="S1278" s="1731"/>
    </row>
    <row r="1279" spans="1:19" x14ac:dyDescent="0.2">
      <c r="A1279" s="1402"/>
      <c r="B1279" s="1405"/>
      <c r="C1279" s="1407"/>
      <c r="D1279" s="1405"/>
      <c r="E1279" s="1405"/>
      <c r="F1279" s="1405"/>
      <c r="G1279" s="1405"/>
      <c r="H1279" s="1405"/>
      <c r="I1279" s="1405"/>
      <c r="J1279" s="1405"/>
      <c r="K1279" s="1405"/>
      <c r="L1279" s="1405"/>
      <c r="M1279" s="1405"/>
      <c r="S1279" s="1731"/>
    </row>
    <row r="1280" spans="1:19" x14ac:dyDescent="0.2">
      <c r="A1280" s="1402"/>
      <c r="B1280" s="1405"/>
      <c r="C1280" s="1407"/>
      <c r="D1280" s="1405"/>
      <c r="E1280" s="1405"/>
      <c r="F1280" s="1405"/>
      <c r="G1280" s="1405"/>
      <c r="H1280" s="1405"/>
      <c r="I1280" s="1405"/>
      <c r="J1280" s="1405"/>
      <c r="K1280" s="1405"/>
      <c r="L1280" s="1405"/>
      <c r="M1280" s="1405"/>
      <c r="S1280" s="1731"/>
    </row>
    <row r="1281" spans="1:19" x14ac:dyDescent="0.2">
      <c r="A1281" s="1402"/>
      <c r="B1281" s="1405"/>
      <c r="C1281" s="1407"/>
      <c r="D1281" s="1405"/>
      <c r="E1281" s="1405"/>
      <c r="F1281" s="1405"/>
      <c r="G1281" s="1405"/>
      <c r="H1281" s="1405"/>
      <c r="I1281" s="1405"/>
      <c r="J1281" s="1405"/>
      <c r="K1281" s="1405"/>
      <c r="L1281" s="1405"/>
      <c r="M1281" s="1405"/>
      <c r="S1281" s="1731"/>
    </row>
    <row r="1282" spans="1:19" x14ac:dyDescent="0.2">
      <c r="A1282" s="1402"/>
      <c r="B1282" s="1405"/>
      <c r="C1282" s="1407"/>
      <c r="D1282" s="1405"/>
      <c r="E1282" s="1405"/>
      <c r="F1282" s="1405"/>
      <c r="G1282" s="1405"/>
      <c r="H1282" s="1405"/>
      <c r="I1282" s="1405"/>
      <c r="J1282" s="1405"/>
      <c r="K1282" s="1405"/>
      <c r="L1282" s="1405"/>
      <c r="M1282" s="1405"/>
      <c r="S1282" s="1731"/>
    </row>
    <row r="1283" spans="1:19" x14ac:dyDescent="0.2">
      <c r="A1283" s="1402"/>
      <c r="B1283" s="1405"/>
      <c r="C1283" s="1407"/>
      <c r="D1283" s="1405"/>
      <c r="E1283" s="1405"/>
      <c r="F1283" s="1405"/>
      <c r="G1283" s="1405"/>
      <c r="H1283" s="1405"/>
      <c r="I1283" s="1405"/>
      <c r="J1283" s="1405"/>
      <c r="K1283" s="1405"/>
      <c r="L1283" s="1405"/>
      <c r="M1283" s="1405"/>
      <c r="S1283" s="1731"/>
    </row>
    <row r="1284" spans="1:19" x14ac:dyDescent="0.2">
      <c r="A1284" s="1402"/>
      <c r="B1284" s="1405"/>
      <c r="C1284" s="1407"/>
      <c r="D1284" s="1405"/>
      <c r="E1284" s="1405"/>
      <c r="F1284" s="1405"/>
      <c r="G1284" s="1405"/>
      <c r="H1284" s="1405"/>
      <c r="I1284" s="1405"/>
      <c r="J1284" s="1405"/>
      <c r="K1284" s="1405"/>
      <c r="L1284" s="1405"/>
      <c r="M1284" s="1405"/>
      <c r="S1284" s="1731"/>
    </row>
    <row r="1285" spans="1:19" x14ac:dyDescent="0.2">
      <c r="A1285" s="1402"/>
      <c r="B1285" s="1405"/>
      <c r="C1285" s="1407"/>
      <c r="D1285" s="1405"/>
      <c r="E1285" s="1405"/>
      <c r="F1285" s="1405"/>
      <c r="G1285" s="1405"/>
      <c r="H1285" s="1405"/>
      <c r="I1285" s="1405"/>
      <c r="J1285" s="1405"/>
      <c r="K1285" s="1405"/>
      <c r="L1285" s="1405"/>
      <c r="M1285" s="1405"/>
      <c r="S1285" s="1731"/>
    </row>
    <row r="1286" spans="1:19" x14ac:dyDescent="0.2">
      <c r="A1286" s="1402"/>
      <c r="B1286" s="1405"/>
      <c r="C1286" s="1407"/>
      <c r="D1286" s="1405"/>
      <c r="E1286" s="1405"/>
      <c r="F1286" s="1405"/>
      <c r="G1286" s="1405"/>
      <c r="H1286" s="1405"/>
      <c r="I1286" s="1405"/>
      <c r="J1286" s="1405"/>
      <c r="K1286" s="1405"/>
      <c r="L1286" s="1405"/>
      <c r="M1286" s="1405"/>
      <c r="S1286" s="1731"/>
    </row>
    <row r="1287" spans="1:19" x14ac:dyDescent="0.2">
      <c r="A1287" s="1402"/>
      <c r="B1287" s="1405"/>
      <c r="C1287" s="1407"/>
      <c r="D1287" s="1405"/>
      <c r="E1287" s="1405"/>
      <c r="F1287" s="1405"/>
      <c r="G1287" s="1405"/>
      <c r="H1287" s="1405"/>
      <c r="I1287" s="1405"/>
      <c r="J1287" s="1405"/>
      <c r="K1287" s="1405"/>
      <c r="L1287" s="1405"/>
      <c r="M1287" s="1405"/>
      <c r="S1287" s="1731"/>
    </row>
    <row r="1288" spans="1:19" x14ac:dyDescent="0.2">
      <c r="A1288" s="1402"/>
      <c r="B1288" s="1405"/>
      <c r="C1288" s="1407"/>
      <c r="D1288" s="1405"/>
      <c r="E1288" s="1405"/>
      <c r="F1288" s="1405"/>
      <c r="G1288" s="1405"/>
      <c r="H1288" s="1405"/>
      <c r="I1288" s="1405"/>
      <c r="J1288" s="1405"/>
      <c r="K1288" s="1405"/>
      <c r="L1288" s="1405"/>
      <c r="M1288" s="1405"/>
      <c r="S1288" s="1731"/>
    </row>
    <row r="1289" spans="1:19" x14ac:dyDescent="0.2">
      <c r="A1289" s="1402"/>
      <c r="B1289" s="1405"/>
      <c r="C1289" s="1407"/>
      <c r="D1289" s="1405"/>
      <c r="E1289" s="1405"/>
      <c r="F1289" s="1405"/>
      <c r="G1289" s="1405"/>
      <c r="H1289" s="1405"/>
      <c r="I1289" s="1405"/>
      <c r="J1289" s="1405"/>
      <c r="K1289" s="1405"/>
      <c r="L1289" s="1405"/>
      <c r="M1289" s="1405"/>
      <c r="S1289" s="1731"/>
    </row>
    <row r="1290" spans="1:19" x14ac:dyDescent="0.2">
      <c r="A1290" s="1402"/>
      <c r="B1290" s="1405"/>
      <c r="C1290" s="1407"/>
      <c r="D1290" s="1405"/>
      <c r="E1290" s="1405"/>
      <c r="F1290" s="1405"/>
      <c r="G1290" s="1405"/>
      <c r="H1290" s="1405"/>
      <c r="I1290" s="1405"/>
      <c r="J1290" s="1405"/>
      <c r="K1290" s="1405"/>
      <c r="L1290" s="1405"/>
      <c r="M1290" s="1405"/>
      <c r="S1290" s="1731"/>
    </row>
    <row r="1291" spans="1:19" x14ac:dyDescent="0.2">
      <c r="A1291" s="1402"/>
      <c r="B1291" s="1405"/>
      <c r="C1291" s="1407"/>
      <c r="D1291" s="1405"/>
      <c r="E1291" s="1405"/>
      <c r="F1291" s="1405"/>
      <c r="G1291" s="1405"/>
      <c r="H1291" s="1405"/>
      <c r="I1291" s="1405"/>
      <c r="J1291" s="1405"/>
      <c r="K1291" s="1405"/>
      <c r="L1291" s="1405"/>
      <c r="M1291" s="1405"/>
      <c r="S1291" s="1731"/>
    </row>
    <row r="1292" spans="1:19" x14ac:dyDescent="0.2">
      <c r="A1292" s="1402"/>
      <c r="B1292" s="1405"/>
      <c r="C1292" s="1407"/>
      <c r="D1292" s="1405"/>
      <c r="E1292" s="1405"/>
      <c r="F1292" s="1405"/>
      <c r="G1292" s="1405"/>
      <c r="H1292" s="1405"/>
      <c r="I1292" s="1405"/>
      <c r="J1292" s="1405"/>
      <c r="K1292" s="1405"/>
      <c r="L1292" s="1405"/>
      <c r="M1292" s="1405"/>
      <c r="S1292" s="1731"/>
    </row>
    <row r="1293" spans="1:19" x14ac:dyDescent="0.2">
      <c r="A1293" s="1402"/>
      <c r="B1293" s="1405"/>
      <c r="C1293" s="1407"/>
      <c r="D1293" s="1405"/>
      <c r="E1293" s="1405"/>
      <c r="F1293" s="1405"/>
      <c r="G1293" s="1405"/>
      <c r="H1293" s="1405"/>
      <c r="I1293" s="1405"/>
      <c r="J1293" s="1405"/>
      <c r="K1293" s="1405"/>
      <c r="L1293" s="1405"/>
      <c r="M1293" s="1405"/>
      <c r="S1293" s="1731"/>
    </row>
    <row r="1294" spans="1:19" x14ac:dyDescent="0.2">
      <c r="A1294" s="1402"/>
      <c r="B1294" s="1405"/>
      <c r="C1294" s="1407"/>
      <c r="D1294" s="1405"/>
      <c r="E1294" s="1405"/>
      <c r="F1294" s="1405"/>
      <c r="G1294" s="1405"/>
      <c r="H1294" s="1405"/>
      <c r="I1294" s="1405"/>
      <c r="J1294" s="1405"/>
      <c r="K1294" s="1405"/>
      <c r="L1294" s="1405"/>
      <c r="M1294" s="1405"/>
      <c r="S1294" s="1731"/>
    </row>
    <row r="1295" spans="1:19" x14ac:dyDescent="0.2">
      <c r="A1295" s="1402"/>
      <c r="B1295" s="1405"/>
      <c r="C1295" s="1407"/>
      <c r="D1295" s="1405"/>
      <c r="E1295" s="1405"/>
      <c r="F1295" s="1405"/>
      <c r="G1295" s="1405"/>
      <c r="H1295" s="1405"/>
      <c r="I1295" s="1405"/>
      <c r="J1295" s="1405"/>
      <c r="K1295" s="1405"/>
      <c r="L1295" s="1405"/>
      <c r="M1295" s="1405"/>
      <c r="S1295" s="1731"/>
    </row>
    <row r="1296" spans="1:19" x14ac:dyDescent="0.2">
      <c r="A1296" s="1402"/>
      <c r="B1296" s="1405"/>
      <c r="C1296" s="1407"/>
      <c r="D1296" s="1405"/>
      <c r="E1296" s="1405"/>
      <c r="F1296" s="1405"/>
      <c r="G1296" s="1405"/>
      <c r="H1296" s="1405"/>
      <c r="I1296" s="1405"/>
      <c r="J1296" s="1405"/>
      <c r="K1296" s="1405"/>
      <c r="L1296" s="1405"/>
      <c r="M1296" s="1405"/>
      <c r="S1296" s="1731"/>
    </row>
    <row r="1297" spans="1:19" x14ac:dyDescent="0.2">
      <c r="A1297" s="1402"/>
      <c r="B1297" s="1405"/>
      <c r="C1297" s="1407"/>
      <c r="D1297" s="1405"/>
      <c r="E1297" s="1405"/>
      <c r="F1297" s="1405"/>
      <c r="G1297" s="1405"/>
      <c r="H1297" s="1405"/>
      <c r="I1297" s="1405"/>
      <c r="J1297" s="1405"/>
      <c r="K1297" s="1405"/>
      <c r="L1297" s="1405"/>
      <c r="M1297" s="1405"/>
      <c r="S1297" s="1731"/>
    </row>
    <row r="1298" spans="1:19" x14ac:dyDescent="0.2">
      <c r="A1298" s="1402"/>
      <c r="B1298" s="1405"/>
      <c r="C1298" s="1407"/>
      <c r="D1298" s="1405"/>
      <c r="E1298" s="1405"/>
      <c r="F1298" s="1405"/>
      <c r="G1298" s="1405"/>
      <c r="H1298" s="1405"/>
      <c r="I1298" s="1405"/>
      <c r="J1298" s="1405"/>
      <c r="K1298" s="1405"/>
      <c r="L1298" s="1405"/>
      <c r="M1298" s="1405"/>
      <c r="S1298" s="1731"/>
    </row>
    <row r="1299" spans="1:19" x14ac:dyDescent="0.2">
      <c r="A1299" s="1402"/>
      <c r="B1299" s="1405"/>
      <c r="C1299" s="1407"/>
      <c r="D1299" s="1405"/>
      <c r="E1299" s="1405"/>
      <c r="F1299" s="1405"/>
      <c r="G1299" s="1405"/>
      <c r="H1299" s="1405"/>
      <c r="I1299" s="1405"/>
      <c r="J1299" s="1405"/>
      <c r="K1299" s="1405"/>
      <c r="L1299" s="1405"/>
      <c r="M1299" s="1405"/>
      <c r="S1299" s="1731"/>
    </row>
    <row r="1300" spans="1:19" x14ac:dyDescent="0.2">
      <c r="A1300" s="1402"/>
      <c r="B1300" s="1405"/>
      <c r="C1300" s="1407"/>
      <c r="D1300" s="1405"/>
      <c r="E1300" s="1405"/>
      <c r="F1300" s="1405"/>
      <c r="G1300" s="1405"/>
      <c r="H1300" s="1405"/>
      <c r="I1300" s="1405"/>
      <c r="J1300" s="1405"/>
      <c r="K1300" s="1405"/>
      <c r="L1300" s="1405"/>
      <c r="M1300" s="1405"/>
      <c r="S1300" s="1731"/>
    </row>
    <row r="1301" spans="1:19" x14ac:dyDescent="0.2">
      <c r="A1301" s="1402"/>
      <c r="B1301" s="1405"/>
      <c r="C1301" s="1407"/>
      <c r="D1301" s="1405"/>
      <c r="E1301" s="1405"/>
      <c r="F1301" s="1405"/>
      <c r="G1301" s="1405"/>
      <c r="H1301" s="1405"/>
      <c r="I1301" s="1405"/>
      <c r="J1301" s="1405"/>
      <c r="K1301" s="1405"/>
      <c r="L1301" s="1405"/>
      <c r="M1301" s="1405"/>
      <c r="S1301" s="1731"/>
    </row>
    <row r="1302" spans="1:19" x14ac:dyDescent="0.2">
      <c r="A1302" s="1402"/>
      <c r="B1302" s="1405"/>
      <c r="C1302" s="1407"/>
      <c r="D1302" s="1405"/>
      <c r="E1302" s="1405"/>
      <c r="F1302" s="1405"/>
      <c r="G1302" s="1405"/>
      <c r="H1302" s="1405"/>
      <c r="I1302" s="1405"/>
      <c r="J1302" s="1405"/>
      <c r="K1302" s="1405"/>
      <c r="L1302" s="1405"/>
      <c r="M1302" s="1405"/>
      <c r="S1302" s="1731"/>
    </row>
    <row r="1303" spans="1:19" x14ac:dyDescent="0.2">
      <c r="A1303" s="1402"/>
      <c r="B1303" s="1405"/>
      <c r="C1303" s="1407"/>
      <c r="D1303" s="1405"/>
      <c r="E1303" s="1405"/>
      <c r="F1303" s="1405"/>
      <c r="G1303" s="1405"/>
      <c r="H1303" s="1405"/>
      <c r="I1303" s="1405"/>
      <c r="J1303" s="1405"/>
      <c r="K1303" s="1405"/>
      <c r="L1303" s="1405"/>
      <c r="M1303" s="1405"/>
      <c r="S1303" s="1731"/>
    </row>
    <row r="1304" spans="1:19" x14ac:dyDescent="0.2">
      <c r="A1304" s="1402"/>
      <c r="B1304" s="1405"/>
      <c r="C1304" s="1407"/>
      <c r="D1304" s="1405"/>
      <c r="E1304" s="1405"/>
      <c r="F1304" s="1405"/>
      <c r="G1304" s="1405"/>
      <c r="H1304" s="1405"/>
      <c r="I1304" s="1405"/>
      <c r="J1304" s="1405"/>
      <c r="K1304" s="1405"/>
      <c r="L1304" s="1405"/>
      <c r="M1304" s="1405"/>
      <c r="S1304" s="1731"/>
    </row>
    <row r="1305" spans="1:19" x14ac:dyDescent="0.2">
      <c r="A1305" s="1402"/>
      <c r="B1305" s="1405"/>
      <c r="C1305" s="1407"/>
      <c r="D1305" s="1405"/>
      <c r="E1305" s="1405"/>
      <c r="F1305" s="1405"/>
      <c r="G1305" s="1405"/>
      <c r="H1305" s="1405"/>
      <c r="I1305" s="1405"/>
      <c r="J1305" s="1405"/>
      <c r="K1305" s="1405"/>
      <c r="L1305" s="1405"/>
      <c r="M1305" s="1405"/>
      <c r="S1305" s="1731"/>
    </row>
    <row r="1306" spans="1:19" x14ac:dyDescent="0.2">
      <c r="A1306" s="1402"/>
      <c r="B1306" s="1405"/>
      <c r="C1306" s="1407"/>
      <c r="D1306" s="1405"/>
      <c r="E1306" s="1405"/>
      <c r="F1306" s="1405"/>
      <c r="G1306" s="1405"/>
      <c r="H1306" s="1405"/>
      <c r="I1306" s="1405"/>
      <c r="J1306" s="1405"/>
      <c r="K1306" s="1405"/>
      <c r="L1306" s="1405"/>
      <c r="M1306" s="1405"/>
      <c r="S1306" s="1731"/>
    </row>
    <row r="1307" spans="1:19" x14ac:dyDescent="0.2">
      <c r="A1307" s="1402"/>
      <c r="B1307" s="1405"/>
      <c r="C1307" s="1407"/>
      <c r="D1307" s="1405"/>
      <c r="E1307" s="1405"/>
      <c r="F1307" s="1405"/>
      <c r="G1307" s="1405"/>
      <c r="H1307" s="1405"/>
      <c r="I1307" s="1405"/>
      <c r="J1307" s="1405"/>
      <c r="K1307" s="1405"/>
      <c r="L1307" s="1405"/>
      <c r="M1307" s="1405"/>
      <c r="S1307" s="1731"/>
    </row>
    <row r="1308" spans="1:19" x14ac:dyDescent="0.2">
      <c r="A1308" s="1402"/>
      <c r="B1308" s="1405"/>
      <c r="C1308" s="1407"/>
      <c r="D1308" s="1405"/>
      <c r="E1308" s="1405"/>
      <c r="F1308" s="1405"/>
      <c r="G1308" s="1405"/>
      <c r="H1308" s="1405"/>
      <c r="I1308" s="1405"/>
      <c r="J1308" s="1405"/>
      <c r="K1308" s="1405"/>
      <c r="L1308" s="1405"/>
      <c r="M1308" s="1405"/>
      <c r="S1308" s="1731"/>
    </row>
    <row r="1309" spans="1:19" x14ac:dyDescent="0.2">
      <c r="A1309" s="1402"/>
      <c r="B1309" s="1405"/>
      <c r="C1309" s="1407"/>
      <c r="D1309" s="1405"/>
      <c r="E1309" s="1405"/>
      <c r="F1309" s="1405"/>
      <c r="G1309" s="1405"/>
      <c r="H1309" s="1405"/>
      <c r="I1309" s="1405"/>
      <c r="J1309" s="1405"/>
      <c r="K1309" s="1405"/>
      <c r="L1309" s="1405"/>
      <c r="M1309" s="1405"/>
      <c r="S1309" s="1731"/>
    </row>
    <row r="1310" spans="1:19" x14ac:dyDescent="0.2">
      <c r="A1310" s="1402"/>
      <c r="B1310" s="1405"/>
      <c r="C1310" s="1407"/>
      <c r="D1310" s="1405"/>
      <c r="E1310" s="1405"/>
      <c r="F1310" s="1405"/>
      <c r="G1310" s="1405"/>
      <c r="H1310" s="1405"/>
      <c r="I1310" s="1405"/>
      <c r="J1310" s="1405"/>
      <c r="K1310" s="1405"/>
      <c r="L1310" s="1405"/>
      <c r="M1310" s="1405"/>
      <c r="S1310" s="1731"/>
    </row>
    <row r="1311" spans="1:19" x14ac:dyDescent="0.2">
      <c r="A1311" s="1402"/>
      <c r="B1311" s="1405"/>
      <c r="C1311" s="1407"/>
      <c r="D1311" s="1405"/>
      <c r="E1311" s="1405"/>
      <c r="F1311" s="1405"/>
      <c r="G1311" s="1405"/>
      <c r="H1311" s="1405"/>
      <c r="I1311" s="1405"/>
      <c r="J1311" s="1405"/>
      <c r="K1311" s="1405"/>
      <c r="L1311" s="1405"/>
      <c r="M1311" s="1405"/>
      <c r="S1311" s="1731"/>
    </row>
    <row r="1312" spans="1:19" x14ac:dyDescent="0.2">
      <c r="A1312" s="1402"/>
      <c r="B1312" s="1405"/>
      <c r="C1312" s="1407"/>
      <c r="D1312" s="1405"/>
      <c r="E1312" s="1405"/>
      <c r="F1312" s="1405"/>
      <c r="G1312" s="1405"/>
      <c r="H1312" s="1405"/>
      <c r="I1312" s="1405"/>
      <c r="J1312" s="1405"/>
      <c r="K1312" s="1405"/>
      <c r="L1312" s="1405"/>
      <c r="M1312" s="1405"/>
      <c r="S1312" s="1731"/>
    </row>
    <row r="1313" spans="1:19" x14ac:dyDescent="0.2">
      <c r="A1313" s="1402"/>
      <c r="B1313" s="1405"/>
      <c r="C1313" s="1407"/>
      <c r="D1313" s="1405"/>
      <c r="E1313" s="1405"/>
      <c r="F1313" s="1405"/>
      <c r="G1313" s="1405"/>
      <c r="H1313" s="1405"/>
      <c r="I1313" s="1405"/>
      <c r="J1313" s="1405"/>
      <c r="K1313" s="1405"/>
      <c r="L1313" s="1405"/>
      <c r="M1313" s="1405"/>
      <c r="S1313" s="1731"/>
    </row>
    <row r="1314" spans="1:19" x14ac:dyDescent="0.2">
      <c r="A1314" s="1402"/>
      <c r="B1314" s="1405"/>
      <c r="C1314" s="1407"/>
      <c r="D1314" s="1405"/>
      <c r="E1314" s="1405"/>
      <c r="F1314" s="1405"/>
      <c r="G1314" s="1405"/>
      <c r="H1314" s="1405"/>
      <c r="I1314" s="1405"/>
      <c r="J1314" s="1405"/>
      <c r="K1314" s="1405"/>
      <c r="L1314" s="1405"/>
      <c r="M1314" s="1405"/>
      <c r="S1314" s="1731"/>
    </row>
    <row r="1315" spans="1:19" x14ac:dyDescent="0.2">
      <c r="A1315" s="1402"/>
      <c r="B1315" s="1405"/>
      <c r="C1315" s="1407"/>
      <c r="D1315" s="1405"/>
      <c r="E1315" s="1405"/>
      <c r="F1315" s="1405"/>
      <c r="G1315" s="1405"/>
      <c r="H1315" s="1405"/>
      <c r="I1315" s="1405"/>
      <c r="J1315" s="1405"/>
      <c r="K1315" s="1405"/>
      <c r="L1315" s="1405"/>
      <c r="M1315" s="1405"/>
      <c r="S1315" s="1731"/>
    </row>
    <row r="1316" spans="1:19" x14ac:dyDescent="0.2">
      <c r="A1316" s="1402"/>
      <c r="B1316" s="1405"/>
      <c r="C1316" s="1407"/>
      <c r="D1316" s="1405"/>
      <c r="E1316" s="1405"/>
      <c r="F1316" s="1405"/>
      <c r="G1316" s="1405"/>
      <c r="H1316" s="1405"/>
      <c r="I1316" s="1405"/>
      <c r="J1316" s="1405"/>
      <c r="K1316" s="1405"/>
      <c r="L1316" s="1405"/>
      <c r="M1316" s="1405"/>
      <c r="S1316" s="1731"/>
    </row>
    <row r="1317" spans="1:19" x14ac:dyDescent="0.2">
      <c r="A1317" s="1402"/>
      <c r="B1317" s="1405"/>
      <c r="C1317" s="1407"/>
      <c r="D1317" s="1405"/>
      <c r="E1317" s="1405"/>
      <c r="F1317" s="1405"/>
      <c r="G1317" s="1405"/>
      <c r="H1317" s="1405"/>
      <c r="I1317" s="1405"/>
      <c r="J1317" s="1405"/>
      <c r="K1317" s="1405"/>
      <c r="L1317" s="1405"/>
      <c r="M1317" s="1405"/>
      <c r="S1317" s="1731"/>
    </row>
    <row r="1318" spans="1:19" x14ac:dyDescent="0.2">
      <c r="A1318" s="1402"/>
      <c r="B1318" s="1405"/>
      <c r="C1318" s="1407"/>
      <c r="D1318" s="1405"/>
      <c r="E1318" s="1405"/>
      <c r="F1318" s="1405"/>
      <c r="G1318" s="1405"/>
      <c r="H1318" s="1405"/>
      <c r="I1318" s="1405"/>
      <c r="J1318" s="1405"/>
      <c r="K1318" s="1405"/>
      <c r="L1318" s="1405"/>
      <c r="M1318" s="1405"/>
      <c r="S1318" s="1731"/>
    </row>
    <row r="1319" spans="1:19" x14ac:dyDescent="0.2">
      <c r="A1319" s="1402"/>
      <c r="B1319" s="1405"/>
      <c r="C1319" s="1407"/>
      <c r="D1319" s="1405"/>
      <c r="E1319" s="1405"/>
      <c r="F1319" s="1405"/>
      <c r="G1319" s="1405"/>
      <c r="H1319" s="1405"/>
      <c r="I1319" s="1405"/>
      <c r="J1319" s="1405"/>
      <c r="K1319" s="1405"/>
      <c r="L1319" s="1405"/>
      <c r="M1319" s="1405"/>
      <c r="S1319" s="1731"/>
    </row>
    <row r="1320" spans="1:19" x14ac:dyDescent="0.2">
      <c r="A1320" s="1402"/>
      <c r="B1320" s="1405"/>
      <c r="C1320" s="1407"/>
      <c r="D1320" s="1405"/>
      <c r="E1320" s="1405"/>
      <c r="F1320" s="1405"/>
      <c r="G1320" s="1405"/>
      <c r="H1320" s="1405"/>
      <c r="I1320" s="1405"/>
      <c r="J1320" s="1405"/>
      <c r="K1320" s="1405"/>
      <c r="L1320" s="1405"/>
      <c r="M1320" s="1405"/>
      <c r="S1320" s="1731"/>
    </row>
    <row r="1321" spans="1:19" x14ac:dyDescent="0.2">
      <c r="A1321" s="1402"/>
      <c r="B1321" s="1405"/>
      <c r="C1321" s="1407"/>
      <c r="D1321" s="1405"/>
      <c r="E1321" s="1405"/>
      <c r="F1321" s="1405"/>
      <c r="G1321" s="1405"/>
      <c r="H1321" s="1405"/>
      <c r="I1321" s="1405"/>
      <c r="J1321" s="1405"/>
      <c r="K1321" s="1405"/>
      <c r="L1321" s="1405"/>
      <c r="M1321" s="1405"/>
      <c r="S1321" s="1731"/>
    </row>
    <row r="1322" spans="1:19" x14ac:dyDescent="0.2">
      <c r="A1322" s="1402"/>
      <c r="B1322" s="1405"/>
      <c r="C1322" s="1407"/>
      <c r="D1322" s="1405"/>
      <c r="E1322" s="1405"/>
      <c r="F1322" s="1405"/>
      <c r="G1322" s="1405"/>
      <c r="H1322" s="1405"/>
      <c r="I1322" s="1405"/>
      <c r="J1322" s="1405"/>
      <c r="K1322" s="1405"/>
      <c r="L1322" s="1405"/>
      <c r="M1322" s="1405"/>
      <c r="S1322" s="1731"/>
    </row>
    <row r="1323" spans="1:19" x14ac:dyDescent="0.2">
      <c r="A1323" s="1402"/>
      <c r="B1323" s="1405"/>
      <c r="C1323" s="1407"/>
      <c r="D1323" s="1405"/>
      <c r="E1323" s="1405"/>
      <c r="F1323" s="1405"/>
      <c r="G1323" s="1405"/>
      <c r="H1323" s="1405"/>
      <c r="I1323" s="1405"/>
      <c r="J1323" s="1405"/>
      <c r="K1323" s="1405"/>
      <c r="L1323" s="1405"/>
      <c r="M1323" s="1405"/>
      <c r="S1323" s="1731"/>
    </row>
    <row r="1324" spans="1:19" x14ac:dyDescent="0.2">
      <c r="A1324" s="1402"/>
      <c r="B1324" s="1405"/>
      <c r="C1324" s="1407"/>
      <c r="D1324" s="1405"/>
      <c r="E1324" s="1405"/>
      <c r="F1324" s="1405"/>
      <c r="G1324" s="1405"/>
      <c r="H1324" s="1405"/>
      <c r="I1324" s="1405"/>
      <c r="J1324" s="1405"/>
      <c r="K1324" s="1405"/>
      <c r="L1324" s="1405"/>
      <c r="M1324" s="1405"/>
      <c r="S1324" s="1731"/>
    </row>
    <row r="1325" spans="1:19" x14ac:dyDescent="0.2">
      <c r="A1325" s="1402"/>
      <c r="B1325" s="1405"/>
      <c r="C1325" s="1407"/>
      <c r="D1325" s="1405"/>
      <c r="E1325" s="1405"/>
      <c r="F1325" s="1405"/>
      <c r="G1325" s="1405"/>
      <c r="H1325" s="1405"/>
      <c r="I1325" s="1405"/>
      <c r="J1325" s="1405"/>
      <c r="K1325" s="1405"/>
      <c r="L1325" s="1405"/>
      <c r="M1325" s="1405"/>
      <c r="S1325" s="1731"/>
    </row>
    <row r="1326" spans="1:19" x14ac:dyDescent="0.2">
      <c r="A1326" s="1402"/>
      <c r="B1326" s="1405"/>
      <c r="C1326" s="1407"/>
      <c r="D1326" s="1405"/>
      <c r="E1326" s="1405"/>
      <c r="F1326" s="1405"/>
      <c r="G1326" s="1405"/>
      <c r="H1326" s="1405"/>
      <c r="I1326" s="1405"/>
      <c r="J1326" s="1405"/>
      <c r="K1326" s="1405"/>
      <c r="L1326" s="1405"/>
      <c r="M1326" s="1405"/>
      <c r="S1326" s="1731"/>
    </row>
    <row r="1327" spans="1:19" x14ac:dyDescent="0.2">
      <c r="A1327" s="1402"/>
      <c r="B1327" s="1405"/>
      <c r="C1327" s="1407"/>
      <c r="D1327" s="1405"/>
      <c r="E1327" s="1405"/>
      <c r="F1327" s="1405"/>
      <c r="G1327" s="1405"/>
      <c r="H1327" s="1405"/>
      <c r="I1327" s="1405"/>
      <c r="J1327" s="1405"/>
      <c r="K1327" s="1405"/>
      <c r="L1327" s="1405"/>
      <c r="M1327" s="1405"/>
      <c r="S1327" s="1731"/>
    </row>
    <row r="1328" spans="1:19" x14ac:dyDescent="0.2">
      <c r="A1328" s="1402"/>
      <c r="B1328" s="1405"/>
      <c r="C1328" s="1407"/>
      <c r="D1328" s="1405"/>
      <c r="E1328" s="1405"/>
      <c r="F1328" s="1405"/>
      <c r="G1328" s="1405"/>
      <c r="H1328" s="1405"/>
      <c r="I1328" s="1405"/>
      <c r="J1328" s="1405"/>
      <c r="K1328" s="1405"/>
      <c r="L1328" s="1405"/>
      <c r="M1328" s="1405"/>
      <c r="S1328" s="1731"/>
    </row>
    <row r="1329" spans="1:19" x14ac:dyDescent="0.2">
      <c r="A1329" s="1402"/>
      <c r="B1329" s="1405"/>
      <c r="C1329" s="1407"/>
      <c r="D1329" s="1405"/>
      <c r="E1329" s="1405"/>
      <c r="F1329" s="1405"/>
      <c r="G1329" s="1405"/>
      <c r="H1329" s="1405"/>
      <c r="I1329" s="1405"/>
      <c r="J1329" s="1405"/>
      <c r="K1329" s="1405"/>
      <c r="L1329" s="1405"/>
      <c r="M1329" s="1405"/>
      <c r="S1329" s="1731"/>
    </row>
    <row r="1330" spans="1:19" x14ac:dyDescent="0.2">
      <c r="A1330" s="1402"/>
      <c r="B1330" s="1405"/>
      <c r="C1330" s="1407"/>
      <c r="D1330" s="1405"/>
      <c r="E1330" s="1405"/>
      <c r="F1330" s="1405"/>
      <c r="G1330" s="1405"/>
      <c r="H1330" s="1405"/>
      <c r="I1330" s="1405"/>
      <c r="J1330" s="1405"/>
      <c r="K1330" s="1405"/>
      <c r="L1330" s="1405"/>
      <c r="M1330" s="1405"/>
      <c r="S1330" s="1731"/>
    </row>
    <row r="1331" spans="1:19" x14ac:dyDescent="0.2">
      <c r="A1331" s="1402"/>
      <c r="B1331" s="1405"/>
      <c r="C1331" s="1407"/>
      <c r="D1331" s="1405"/>
      <c r="E1331" s="1405"/>
      <c r="F1331" s="1405"/>
      <c r="G1331" s="1405"/>
      <c r="H1331" s="1405"/>
      <c r="I1331" s="1405"/>
      <c r="J1331" s="1405"/>
      <c r="K1331" s="1405"/>
      <c r="L1331" s="1405"/>
      <c r="M1331" s="1405"/>
      <c r="S1331" s="1731"/>
    </row>
    <row r="1332" spans="1:19" x14ac:dyDescent="0.2">
      <c r="A1332" s="1402"/>
      <c r="B1332" s="1405"/>
      <c r="C1332" s="1407"/>
      <c r="D1332" s="1405"/>
      <c r="E1332" s="1405"/>
      <c r="F1332" s="1405"/>
      <c r="G1332" s="1405"/>
      <c r="H1332" s="1405"/>
      <c r="I1332" s="1405"/>
      <c r="J1332" s="1405"/>
      <c r="K1332" s="1405"/>
      <c r="L1332" s="1405"/>
      <c r="M1332" s="1405"/>
      <c r="S1332" s="1731"/>
    </row>
    <row r="1333" spans="1:19" x14ac:dyDescent="0.2">
      <c r="A1333" s="1402"/>
      <c r="B1333" s="1405"/>
      <c r="C1333" s="1407"/>
      <c r="D1333" s="1405"/>
      <c r="E1333" s="1405"/>
      <c r="F1333" s="1405"/>
      <c r="G1333" s="1405"/>
      <c r="H1333" s="1405"/>
      <c r="I1333" s="1405"/>
      <c r="J1333" s="1405"/>
      <c r="K1333" s="1405"/>
      <c r="L1333" s="1405"/>
      <c r="M1333" s="1405"/>
      <c r="S1333" s="1731"/>
    </row>
    <row r="1334" spans="1:19" x14ac:dyDescent="0.2">
      <c r="A1334" s="1402"/>
      <c r="B1334" s="1405"/>
      <c r="C1334" s="1407"/>
      <c r="D1334" s="1405"/>
      <c r="E1334" s="1405"/>
      <c r="F1334" s="1405"/>
      <c r="G1334" s="1405"/>
      <c r="H1334" s="1405"/>
      <c r="I1334" s="1405"/>
      <c r="J1334" s="1405"/>
      <c r="K1334" s="1405"/>
      <c r="L1334" s="1405"/>
      <c r="M1334" s="1405"/>
      <c r="S1334" s="1731"/>
    </row>
    <row r="1335" spans="1:19" x14ac:dyDescent="0.2">
      <c r="A1335" s="1402"/>
      <c r="B1335" s="1405"/>
      <c r="C1335" s="1407"/>
      <c r="D1335" s="1405"/>
      <c r="E1335" s="1405"/>
      <c r="F1335" s="1405"/>
      <c r="G1335" s="1405"/>
      <c r="H1335" s="1405"/>
      <c r="I1335" s="1405"/>
      <c r="J1335" s="1405"/>
      <c r="K1335" s="1405"/>
      <c r="L1335" s="1405"/>
      <c r="M1335" s="1405"/>
      <c r="S1335" s="1731"/>
    </row>
    <row r="1336" spans="1:19" x14ac:dyDescent="0.2">
      <c r="A1336" s="1402"/>
      <c r="B1336" s="1405"/>
      <c r="C1336" s="1407"/>
      <c r="D1336" s="1405"/>
      <c r="E1336" s="1405"/>
      <c r="F1336" s="1405"/>
      <c r="G1336" s="1405"/>
      <c r="H1336" s="1405"/>
      <c r="I1336" s="1405"/>
      <c r="J1336" s="1405"/>
      <c r="K1336" s="1405"/>
      <c r="L1336" s="1405"/>
      <c r="M1336" s="1405"/>
      <c r="S1336" s="1731"/>
    </row>
    <row r="1337" spans="1:19" x14ac:dyDescent="0.2">
      <c r="A1337" s="1402"/>
      <c r="B1337" s="1405"/>
      <c r="C1337" s="1407"/>
      <c r="D1337" s="1405"/>
      <c r="E1337" s="1405"/>
      <c r="F1337" s="1405"/>
      <c r="G1337" s="1405"/>
      <c r="H1337" s="1405"/>
      <c r="I1337" s="1405"/>
      <c r="J1337" s="1405"/>
      <c r="K1337" s="1405"/>
      <c r="L1337" s="1405"/>
      <c r="M1337" s="1405"/>
      <c r="S1337" s="1731"/>
    </row>
    <row r="1338" spans="1:19" x14ac:dyDescent="0.2">
      <c r="A1338" s="1402"/>
      <c r="B1338" s="1405"/>
      <c r="C1338" s="1407"/>
      <c r="D1338" s="1405"/>
      <c r="E1338" s="1405"/>
      <c r="F1338" s="1405"/>
      <c r="G1338" s="1405"/>
      <c r="H1338" s="1405"/>
      <c r="I1338" s="1405"/>
      <c r="J1338" s="1405"/>
      <c r="K1338" s="1405"/>
      <c r="L1338" s="1405"/>
      <c r="M1338" s="1405"/>
      <c r="S1338" s="1731"/>
    </row>
    <row r="1339" spans="1:19" x14ac:dyDescent="0.2">
      <c r="A1339" s="1402"/>
      <c r="B1339" s="1405"/>
      <c r="C1339" s="1407"/>
      <c r="D1339" s="1405"/>
      <c r="E1339" s="1405"/>
      <c r="F1339" s="1405"/>
      <c r="G1339" s="1405"/>
      <c r="H1339" s="1405"/>
      <c r="I1339" s="1405"/>
      <c r="J1339" s="1405"/>
      <c r="K1339" s="1405"/>
      <c r="L1339" s="1405"/>
      <c r="M1339" s="1405"/>
      <c r="S1339" s="1731"/>
    </row>
    <row r="1340" spans="1:19" x14ac:dyDescent="0.2">
      <c r="A1340" s="1402"/>
      <c r="B1340" s="1405"/>
      <c r="C1340" s="1407"/>
      <c r="D1340" s="1405"/>
      <c r="E1340" s="1405"/>
      <c r="F1340" s="1405"/>
      <c r="G1340" s="1405"/>
      <c r="H1340" s="1405"/>
      <c r="I1340" s="1405"/>
      <c r="J1340" s="1405"/>
      <c r="K1340" s="1405"/>
      <c r="L1340" s="1405"/>
      <c r="M1340" s="1405"/>
      <c r="S1340" s="1731"/>
    </row>
    <row r="1341" spans="1:19" x14ac:dyDescent="0.2">
      <c r="A1341" s="1402"/>
      <c r="B1341" s="1405"/>
      <c r="C1341" s="1407"/>
      <c r="D1341" s="1405"/>
      <c r="E1341" s="1405"/>
      <c r="F1341" s="1405"/>
      <c r="G1341" s="1405"/>
      <c r="H1341" s="1405"/>
      <c r="I1341" s="1405"/>
      <c r="J1341" s="1405"/>
      <c r="K1341" s="1405"/>
      <c r="L1341" s="1405"/>
      <c r="M1341" s="1405"/>
      <c r="S1341" s="1731"/>
    </row>
    <row r="1342" spans="1:19" x14ac:dyDescent="0.2">
      <c r="A1342" s="1402"/>
      <c r="B1342" s="1405"/>
      <c r="C1342" s="1407"/>
      <c r="D1342" s="1405"/>
      <c r="E1342" s="1405"/>
      <c r="F1342" s="1405"/>
      <c r="G1342" s="1405"/>
      <c r="H1342" s="1405"/>
      <c r="I1342" s="1405"/>
      <c r="J1342" s="1405"/>
      <c r="K1342" s="1405"/>
      <c r="L1342" s="1405"/>
      <c r="M1342" s="1405"/>
      <c r="S1342" s="1731"/>
    </row>
    <row r="1343" spans="1:19" x14ac:dyDescent="0.2">
      <c r="A1343" s="1402"/>
      <c r="B1343" s="1405"/>
      <c r="C1343" s="1407"/>
      <c r="D1343" s="1405"/>
      <c r="E1343" s="1405"/>
      <c r="F1343" s="1405"/>
      <c r="G1343" s="1405"/>
      <c r="H1343" s="1405"/>
      <c r="I1343" s="1405"/>
      <c r="J1343" s="1405"/>
      <c r="K1343" s="1405"/>
      <c r="L1343" s="1405"/>
      <c r="M1343" s="1405"/>
      <c r="S1343" s="1731"/>
    </row>
    <row r="1344" spans="1:19" x14ac:dyDescent="0.2">
      <c r="A1344" s="1402"/>
      <c r="B1344" s="1405"/>
      <c r="C1344" s="1407"/>
      <c r="D1344" s="1405"/>
      <c r="E1344" s="1405"/>
      <c r="F1344" s="1405"/>
      <c r="G1344" s="1405"/>
      <c r="H1344" s="1405"/>
      <c r="I1344" s="1405"/>
      <c r="J1344" s="1405"/>
      <c r="K1344" s="1405"/>
      <c r="L1344" s="1405"/>
      <c r="M1344" s="1405"/>
      <c r="S1344" s="1731"/>
    </row>
    <row r="1345" spans="1:19" x14ac:dyDescent="0.2">
      <c r="A1345" s="1402"/>
      <c r="B1345" s="1405"/>
      <c r="C1345" s="1407"/>
      <c r="D1345" s="1405"/>
      <c r="E1345" s="1405"/>
      <c r="F1345" s="1405"/>
      <c r="G1345" s="1405"/>
      <c r="H1345" s="1405"/>
      <c r="I1345" s="1405"/>
      <c r="J1345" s="1405"/>
      <c r="K1345" s="1405"/>
      <c r="L1345" s="1405"/>
      <c r="M1345" s="1405"/>
      <c r="S1345" s="1731"/>
    </row>
    <row r="1346" spans="1:19" x14ac:dyDescent="0.2">
      <c r="A1346" s="1402"/>
      <c r="B1346" s="1405"/>
      <c r="C1346" s="1407"/>
      <c r="D1346" s="1405"/>
      <c r="E1346" s="1405"/>
      <c r="F1346" s="1405"/>
      <c r="G1346" s="1405"/>
      <c r="H1346" s="1405"/>
      <c r="I1346" s="1405"/>
      <c r="J1346" s="1405"/>
      <c r="K1346" s="1405"/>
      <c r="L1346" s="1405"/>
      <c r="M1346" s="1405"/>
      <c r="S1346" s="1731"/>
    </row>
    <row r="1347" spans="1:19" x14ac:dyDescent="0.2">
      <c r="A1347" s="1402"/>
      <c r="B1347" s="1405"/>
      <c r="C1347" s="1407"/>
      <c r="D1347" s="1405"/>
      <c r="E1347" s="1405"/>
      <c r="F1347" s="1405"/>
      <c r="G1347" s="1405"/>
      <c r="H1347" s="1405"/>
      <c r="I1347" s="1405"/>
      <c r="J1347" s="1405"/>
      <c r="K1347" s="1405"/>
      <c r="L1347" s="1405"/>
      <c r="M1347" s="1405"/>
      <c r="S1347" s="1731"/>
    </row>
    <row r="1348" spans="1:19" x14ac:dyDescent="0.2">
      <c r="A1348" s="1402"/>
      <c r="B1348" s="1405"/>
      <c r="C1348" s="1407"/>
      <c r="D1348" s="1405"/>
      <c r="E1348" s="1405"/>
      <c r="F1348" s="1405"/>
      <c r="G1348" s="1405"/>
      <c r="H1348" s="1405"/>
      <c r="I1348" s="1405"/>
      <c r="J1348" s="1405"/>
      <c r="K1348" s="1405"/>
      <c r="L1348" s="1405"/>
      <c r="M1348" s="1405"/>
      <c r="S1348" s="1731"/>
    </row>
    <row r="1349" spans="1:19" x14ac:dyDescent="0.2">
      <c r="A1349" s="1402"/>
      <c r="B1349" s="1405"/>
      <c r="C1349" s="1407"/>
      <c r="D1349" s="1405"/>
      <c r="E1349" s="1405"/>
      <c r="F1349" s="1405"/>
      <c r="G1349" s="1405"/>
      <c r="H1349" s="1405"/>
      <c r="I1349" s="1405"/>
      <c r="J1349" s="1405"/>
      <c r="K1349" s="1405"/>
      <c r="L1349" s="1405"/>
      <c r="M1349" s="1405"/>
      <c r="S1349" s="1731"/>
    </row>
    <row r="1350" spans="1:19" x14ac:dyDescent="0.2">
      <c r="A1350" s="1402"/>
      <c r="B1350" s="1405"/>
      <c r="C1350" s="1407"/>
      <c r="D1350" s="1405"/>
      <c r="E1350" s="1405"/>
      <c r="F1350" s="1405"/>
      <c r="G1350" s="1405"/>
      <c r="H1350" s="1405"/>
      <c r="I1350" s="1405"/>
      <c r="J1350" s="1405"/>
      <c r="K1350" s="1405"/>
      <c r="L1350" s="1405"/>
      <c r="M1350" s="1405"/>
      <c r="S1350" s="1731"/>
    </row>
    <row r="1351" spans="1:19" x14ac:dyDescent="0.2">
      <c r="A1351" s="1402"/>
      <c r="B1351" s="1405"/>
      <c r="C1351" s="1407"/>
      <c r="D1351" s="1405"/>
      <c r="E1351" s="1405"/>
      <c r="F1351" s="1405"/>
      <c r="G1351" s="1405"/>
      <c r="H1351" s="1405"/>
      <c r="I1351" s="1405"/>
      <c r="J1351" s="1405"/>
      <c r="K1351" s="1405"/>
      <c r="L1351" s="1405"/>
      <c r="M1351" s="1405"/>
      <c r="S1351" s="1731"/>
    </row>
    <row r="1352" spans="1:19" x14ac:dyDescent="0.2">
      <c r="A1352" s="1402"/>
      <c r="B1352" s="1405"/>
      <c r="C1352" s="1407"/>
      <c r="D1352" s="1405"/>
      <c r="E1352" s="1405"/>
      <c r="F1352" s="1405"/>
      <c r="G1352" s="1405"/>
      <c r="H1352" s="1405"/>
      <c r="I1352" s="1405"/>
      <c r="J1352" s="1405"/>
      <c r="K1352" s="1405"/>
      <c r="L1352" s="1405"/>
      <c r="M1352" s="1405"/>
      <c r="S1352" s="1731"/>
    </row>
    <row r="1353" spans="1:19" x14ac:dyDescent="0.2">
      <c r="A1353" s="1402"/>
      <c r="B1353" s="1405"/>
      <c r="C1353" s="1407"/>
      <c r="D1353" s="1405"/>
      <c r="E1353" s="1405"/>
      <c r="F1353" s="1405"/>
      <c r="G1353" s="1405"/>
      <c r="H1353" s="1405"/>
      <c r="I1353" s="1405"/>
      <c r="J1353" s="1405"/>
      <c r="K1353" s="1405"/>
      <c r="L1353" s="1405"/>
      <c r="M1353" s="1405"/>
      <c r="S1353" s="1731"/>
    </row>
    <row r="1354" spans="1:19" x14ac:dyDescent="0.2">
      <c r="A1354" s="1402"/>
      <c r="B1354" s="1405"/>
      <c r="C1354" s="1407"/>
      <c r="D1354" s="1405"/>
      <c r="E1354" s="1405"/>
      <c r="F1354" s="1405"/>
      <c r="G1354" s="1405"/>
      <c r="H1354" s="1405"/>
      <c r="I1354" s="1405"/>
      <c r="J1354" s="1405"/>
      <c r="K1354" s="1405"/>
      <c r="L1354" s="1405"/>
      <c r="M1354" s="1405"/>
      <c r="S1354" s="1731"/>
    </row>
    <row r="1355" spans="1:19" x14ac:dyDescent="0.2">
      <c r="A1355" s="1402"/>
      <c r="B1355" s="1405"/>
      <c r="C1355" s="1407"/>
      <c r="D1355" s="1405"/>
      <c r="E1355" s="1405"/>
      <c r="F1355" s="1405"/>
      <c r="G1355" s="1405"/>
      <c r="H1355" s="1405"/>
      <c r="I1355" s="1405"/>
      <c r="J1355" s="1405"/>
      <c r="K1355" s="1405"/>
      <c r="L1355" s="1405"/>
      <c r="M1355" s="1405"/>
      <c r="S1355" s="1731"/>
    </row>
    <row r="1356" spans="1:19" x14ac:dyDescent="0.2">
      <c r="A1356" s="1402"/>
      <c r="B1356" s="1405"/>
      <c r="C1356" s="1407"/>
      <c r="D1356" s="1405"/>
      <c r="E1356" s="1405"/>
      <c r="F1356" s="1405"/>
      <c r="G1356" s="1405"/>
      <c r="H1356" s="1405"/>
      <c r="I1356" s="1405"/>
      <c r="J1356" s="1405"/>
      <c r="K1356" s="1405"/>
      <c r="L1356" s="1405"/>
      <c r="M1356" s="1405"/>
      <c r="S1356" s="1731"/>
    </row>
    <row r="1357" spans="1:19" x14ac:dyDescent="0.2">
      <c r="A1357" s="1402"/>
      <c r="B1357" s="1405"/>
      <c r="C1357" s="1407"/>
      <c r="D1357" s="1405"/>
      <c r="E1357" s="1405"/>
      <c r="F1357" s="1405"/>
      <c r="G1357" s="1405"/>
      <c r="H1357" s="1405"/>
      <c r="I1357" s="1405"/>
      <c r="J1357" s="1405"/>
      <c r="K1357" s="1405"/>
      <c r="L1357" s="1405"/>
      <c r="M1357" s="1405"/>
      <c r="S1357" s="1731"/>
    </row>
    <row r="1358" spans="1:19" x14ac:dyDescent="0.2">
      <c r="A1358" s="1402"/>
      <c r="B1358" s="1405"/>
      <c r="C1358" s="1407"/>
      <c r="D1358" s="1405"/>
      <c r="E1358" s="1405"/>
      <c r="F1358" s="1405"/>
      <c r="G1358" s="1405"/>
      <c r="H1358" s="1405"/>
      <c r="I1358" s="1405"/>
      <c r="J1358" s="1405"/>
      <c r="K1358" s="1405"/>
      <c r="L1358" s="1405"/>
      <c r="M1358" s="1405"/>
      <c r="S1358" s="1731"/>
    </row>
    <row r="1359" spans="1:19" x14ac:dyDescent="0.2">
      <c r="A1359" s="1402"/>
      <c r="B1359" s="1405"/>
      <c r="C1359" s="1407"/>
      <c r="D1359" s="1405"/>
      <c r="E1359" s="1405"/>
      <c r="F1359" s="1405"/>
      <c r="G1359" s="1405"/>
      <c r="H1359" s="1405"/>
      <c r="I1359" s="1405"/>
      <c r="J1359" s="1405"/>
      <c r="K1359" s="1405"/>
      <c r="L1359" s="1405"/>
      <c r="M1359" s="1405"/>
      <c r="S1359" s="1731"/>
    </row>
    <row r="1360" spans="1:19" x14ac:dyDescent="0.2">
      <c r="A1360" s="1402"/>
      <c r="B1360" s="1405"/>
      <c r="C1360" s="1407"/>
      <c r="D1360" s="1405"/>
      <c r="E1360" s="1405"/>
      <c r="F1360" s="1405"/>
      <c r="G1360" s="1405"/>
      <c r="H1360" s="1405"/>
      <c r="I1360" s="1405"/>
      <c r="J1360" s="1405"/>
      <c r="K1360" s="1405"/>
      <c r="L1360" s="1405"/>
      <c r="M1360" s="1405"/>
      <c r="S1360" s="1731"/>
    </row>
    <row r="1361" spans="1:19" x14ac:dyDescent="0.2">
      <c r="A1361" s="1402"/>
      <c r="B1361" s="1405"/>
      <c r="C1361" s="1407"/>
      <c r="D1361" s="1405"/>
      <c r="E1361" s="1405"/>
      <c r="F1361" s="1405"/>
      <c r="G1361" s="1405"/>
      <c r="H1361" s="1405"/>
      <c r="I1361" s="1405"/>
      <c r="J1361" s="1405"/>
      <c r="K1361" s="1405"/>
      <c r="L1361" s="1405"/>
      <c r="M1361" s="1405"/>
      <c r="S1361" s="1731"/>
    </row>
    <row r="1362" spans="1:19" x14ac:dyDescent="0.2">
      <c r="A1362" s="1402"/>
      <c r="B1362" s="1405"/>
      <c r="C1362" s="1407"/>
      <c r="D1362" s="1405"/>
      <c r="E1362" s="1405"/>
      <c r="F1362" s="1405"/>
      <c r="G1362" s="1405"/>
      <c r="H1362" s="1405"/>
      <c r="I1362" s="1405"/>
      <c r="J1362" s="1405"/>
      <c r="K1362" s="1405"/>
      <c r="L1362" s="1405"/>
      <c r="M1362" s="1405"/>
      <c r="S1362" s="1731"/>
    </row>
    <row r="1363" spans="1:19" x14ac:dyDescent="0.2">
      <c r="A1363" s="1402"/>
      <c r="B1363" s="1405"/>
      <c r="C1363" s="1407"/>
      <c r="D1363" s="1405"/>
      <c r="E1363" s="1405"/>
      <c r="F1363" s="1405"/>
      <c r="G1363" s="1405"/>
      <c r="H1363" s="1405"/>
      <c r="I1363" s="1405"/>
      <c r="J1363" s="1405"/>
      <c r="K1363" s="1405"/>
      <c r="L1363" s="1405"/>
      <c r="M1363" s="1405"/>
      <c r="S1363" s="1731"/>
    </row>
    <row r="1364" spans="1:19" x14ac:dyDescent="0.2">
      <c r="A1364" s="1402"/>
      <c r="B1364" s="1405"/>
      <c r="C1364" s="1407"/>
      <c r="D1364" s="1405"/>
      <c r="E1364" s="1405"/>
      <c r="F1364" s="1405"/>
      <c r="G1364" s="1405"/>
      <c r="H1364" s="1405"/>
      <c r="I1364" s="1405"/>
      <c r="J1364" s="1405"/>
      <c r="K1364" s="1405"/>
      <c r="L1364" s="1405"/>
      <c r="M1364" s="1405"/>
      <c r="S1364" s="1731"/>
    </row>
    <row r="1365" spans="1:19" x14ac:dyDescent="0.2">
      <c r="A1365" s="1402"/>
      <c r="B1365" s="1405"/>
      <c r="C1365" s="1407"/>
      <c r="D1365" s="1405"/>
      <c r="E1365" s="1405"/>
      <c r="F1365" s="1405"/>
      <c r="G1365" s="1405"/>
      <c r="H1365" s="1405"/>
      <c r="I1365" s="1405"/>
      <c r="J1365" s="1405"/>
      <c r="K1365" s="1405"/>
      <c r="L1365" s="1405"/>
      <c r="M1365" s="1405"/>
      <c r="S1365" s="1731"/>
    </row>
    <row r="1366" spans="1:19" x14ac:dyDescent="0.2">
      <c r="A1366" s="1402"/>
      <c r="B1366" s="1405"/>
      <c r="C1366" s="1407"/>
      <c r="D1366" s="1405"/>
      <c r="E1366" s="1405"/>
      <c r="F1366" s="1405"/>
      <c r="G1366" s="1405"/>
      <c r="H1366" s="1405"/>
      <c r="I1366" s="1405"/>
      <c r="J1366" s="1405"/>
      <c r="K1366" s="1405"/>
      <c r="L1366" s="1405"/>
      <c r="M1366" s="1405"/>
      <c r="S1366" s="1731"/>
    </row>
    <row r="1367" spans="1:19" x14ac:dyDescent="0.2">
      <c r="A1367" s="1402"/>
      <c r="B1367" s="1405"/>
      <c r="C1367" s="1407"/>
      <c r="D1367" s="1405"/>
      <c r="E1367" s="1405"/>
      <c r="F1367" s="1405"/>
      <c r="G1367" s="1405"/>
      <c r="H1367" s="1405"/>
      <c r="I1367" s="1405"/>
      <c r="J1367" s="1405"/>
      <c r="K1367" s="1405"/>
      <c r="L1367" s="1405"/>
      <c r="M1367" s="1405"/>
      <c r="S1367" s="1731"/>
    </row>
    <row r="1368" spans="1:19" x14ac:dyDescent="0.2">
      <c r="A1368" s="1402"/>
      <c r="B1368" s="1405"/>
      <c r="C1368" s="1407"/>
      <c r="D1368" s="1405"/>
      <c r="E1368" s="1405"/>
      <c r="F1368" s="1405"/>
      <c r="G1368" s="1405"/>
      <c r="H1368" s="1405"/>
      <c r="I1368" s="1405"/>
      <c r="J1368" s="1405"/>
      <c r="K1368" s="1405"/>
      <c r="L1368" s="1405"/>
      <c r="M1368" s="1405"/>
      <c r="S1368" s="1731"/>
    </row>
    <row r="1369" spans="1:19" x14ac:dyDescent="0.2">
      <c r="A1369" s="1402"/>
      <c r="B1369" s="1405"/>
      <c r="C1369" s="1407"/>
      <c r="D1369" s="1405"/>
      <c r="E1369" s="1405"/>
      <c r="F1369" s="1405"/>
      <c r="G1369" s="1405"/>
      <c r="H1369" s="1405"/>
      <c r="I1369" s="1405"/>
      <c r="J1369" s="1405"/>
      <c r="K1369" s="1405"/>
      <c r="L1369" s="1405"/>
      <c r="M1369" s="1405"/>
      <c r="S1369" s="1731"/>
    </row>
    <row r="1370" spans="1:19" x14ac:dyDescent="0.2">
      <c r="A1370" s="1402"/>
      <c r="B1370" s="1405"/>
      <c r="C1370" s="1407"/>
      <c r="D1370" s="1405"/>
      <c r="E1370" s="1405"/>
      <c r="F1370" s="1405"/>
      <c r="G1370" s="1405"/>
      <c r="H1370" s="1405"/>
      <c r="I1370" s="1405"/>
      <c r="J1370" s="1405"/>
      <c r="K1370" s="1405"/>
      <c r="L1370" s="1405"/>
      <c r="M1370" s="1405"/>
      <c r="S1370" s="1731"/>
    </row>
    <row r="1371" spans="1:19" x14ac:dyDescent="0.2">
      <c r="A1371" s="1402"/>
      <c r="B1371" s="1405"/>
      <c r="C1371" s="1407"/>
      <c r="D1371" s="1405"/>
      <c r="E1371" s="1405"/>
      <c r="F1371" s="1405"/>
      <c r="G1371" s="1405"/>
      <c r="H1371" s="1405"/>
      <c r="I1371" s="1405"/>
      <c r="J1371" s="1405"/>
      <c r="K1371" s="1405"/>
      <c r="L1371" s="1405"/>
      <c r="M1371" s="1405"/>
      <c r="S1371" s="1731"/>
    </row>
    <row r="1372" spans="1:19" x14ac:dyDescent="0.2">
      <c r="A1372" s="1402"/>
      <c r="B1372" s="1405"/>
      <c r="C1372" s="1407"/>
      <c r="D1372" s="1405"/>
      <c r="E1372" s="1405"/>
      <c r="F1372" s="1405"/>
      <c r="G1372" s="1405"/>
      <c r="H1372" s="1405"/>
      <c r="I1372" s="1405"/>
      <c r="J1372" s="1405"/>
      <c r="K1372" s="1405"/>
      <c r="L1372" s="1405"/>
      <c r="M1372" s="1405"/>
      <c r="S1372" s="1731"/>
    </row>
    <row r="1373" spans="1:19" x14ac:dyDescent="0.2">
      <c r="A1373" s="1402"/>
      <c r="B1373" s="1405"/>
      <c r="C1373" s="1407"/>
      <c r="D1373" s="1405"/>
      <c r="E1373" s="1405"/>
      <c r="F1373" s="1405"/>
      <c r="G1373" s="1405"/>
      <c r="H1373" s="1405"/>
      <c r="I1373" s="1405"/>
      <c r="J1373" s="1405"/>
      <c r="K1373" s="1405"/>
      <c r="L1373" s="1405"/>
      <c r="M1373" s="1405"/>
      <c r="S1373" s="1731"/>
    </row>
    <row r="1374" spans="1:19" x14ac:dyDescent="0.2">
      <c r="A1374" s="1402"/>
      <c r="B1374" s="1405"/>
      <c r="C1374" s="1407"/>
      <c r="D1374" s="1405"/>
      <c r="E1374" s="1405"/>
      <c r="F1374" s="1405"/>
      <c r="G1374" s="1405"/>
      <c r="H1374" s="1405"/>
      <c r="I1374" s="1405"/>
      <c r="J1374" s="1405"/>
      <c r="K1374" s="1405"/>
      <c r="L1374" s="1405"/>
      <c r="M1374" s="1405"/>
      <c r="S1374" s="1731"/>
    </row>
    <row r="1375" spans="1:19" x14ac:dyDescent="0.2">
      <c r="A1375" s="1402"/>
      <c r="B1375" s="1405"/>
      <c r="C1375" s="1407"/>
      <c r="D1375" s="1405"/>
      <c r="E1375" s="1405"/>
      <c r="F1375" s="1405"/>
      <c r="G1375" s="1405"/>
      <c r="H1375" s="1405"/>
      <c r="I1375" s="1405"/>
      <c r="J1375" s="1405"/>
      <c r="K1375" s="1405"/>
      <c r="L1375" s="1405"/>
      <c r="M1375" s="1405"/>
      <c r="S1375" s="1731"/>
    </row>
    <row r="1376" spans="1:19" x14ac:dyDescent="0.2">
      <c r="A1376" s="1402"/>
      <c r="B1376" s="1405"/>
      <c r="C1376" s="1407"/>
      <c r="D1376" s="1405"/>
      <c r="E1376" s="1405"/>
      <c r="F1376" s="1405"/>
      <c r="G1376" s="1405"/>
      <c r="H1376" s="1405"/>
      <c r="I1376" s="1405"/>
      <c r="J1376" s="1405"/>
      <c r="K1376" s="1405"/>
      <c r="L1376" s="1405"/>
      <c r="M1376" s="1405"/>
      <c r="S1376" s="1731"/>
    </row>
    <row r="1377" spans="1:19" x14ac:dyDescent="0.2">
      <c r="A1377" s="1402"/>
      <c r="B1377" s="1405"/>
      <c r="C1377" s="1407"/>
      <c r="D1377" s="1405"/>
      <c r="E1377" s="1405"/>
      <c r="F1377" s="1405"/>
      <c r="G1377" s="1405"/>
      <c r="H1377" s="1405"/>
      <c r="I1377" s="1405"/>
      <c r="J1377" s="1405"/>
      <c r="K1377" s="1405"/>
      <c r="L1377" s="1405"/>
      <c r="M1377" s="1405"/>
      <c r="S1377" s="1731"/>
    </row>
    <row r="1378" spans="1:19" x14ac:dyDescent="0.2">
      <c r="A1378" s="1402"/>
      <c r="B1378" s="1405"/>
      <c r="C1378" s="1407"/>
      <c r="D1378" s="1405"/>
      <c r="E1378" s="1405"/>
      <c r="F1378" s="1405"/>
      <c r="G1378" s="1405"/>
      <c r="H1378" s="1405"/>
      <c r="I1378" s="1405"/>
      <c r="J1378" s="1405"/>
      <c r="K1378" s="1405"/>
      <c r="L1378" s="1405"/>
      <c r="M1378" s="1405"/>
      <c r="S1378" s="1731"/>
    </row>
    <row r="1379" spans="1:19" x14ac:dyDescent="0.2">
      <c r="A1379" s="1402"/>
      <c r="B1379" s="1405"/>
      <c r="C1379" s="1407"/>
      <c r="D1379" s="1405"/>
      <c r="E1379" s="1405"/>
      <c r="F1379" s="1405"/>
      <c r="G1379" s="1405"/>
      <c r="H1379" s="1405"/>
      <c r="I1379" s="1405"/>
      <c r="J1379" s="1405"/>
      <c r="K1379" s="1405"/>
      <c r="L1379" s="1405"/>
      <c r="M1379" s="1405"/>
      <c r="S1379" s="1731"/>
    </row>
    <row r="1380" spans="1:19" x14ac:dyDescent="0.2">
      <c r="A1380" s="1402"/>
      <c r="B1380" s="1405"/>
      <c r="C1380" s="1407"/>
      <c r="D1380" s="1405"/>
      <c r="E1380" s="1405"/>
      <c r="F1380" s="1405"/>
      <c r="G1380" s="1405"/>
      <c r="H1380" s="1405"/>
      <c r="I1380" s="1405"/>
      <c r="J1380" s="1405"/>
      <c r="K1380" s="1405"/>
      <c r="L1380" s="1405"/>
      <c r="M1380" s="1405"/>
      <c r="S1380" s="1731"/>
    </row>
    <row r="1381" spans="1:19" x14ac:dyDescent="0.2">
      <c r="A1381" s="1402"/>
      <c r="B1381" s="1405"/>
      <c r="C1381" s="1407"/>
      <c r="D1381" s="1405"/>
      <c r="E1381" s="1405"/>
      <c r="F1381" s="1405"/>
      <c r="G1381" s="1405"/>
      <c r="H1381" s="1405"/>
      <c r="I1381" s="1405"/>
      <c r="J1381" s="1405"/>
      <c r="K1381" s="1405"/>
      <c r="L1381" s="1405"/>
      <c r="M1381" s="1405"/>
      <c r="S1381" s="1731"/>
    </row>
    <row r="1382" spans="1:19" x14ac:dyDescent="0.2">
      <c r="A1382" s="1402"/>
      <c r="B1382" s="1405"/>
      <c r="C1382" s="1407"/>
      <c r="D1382" s="1405"/>
      <c r="E1382" s="1405"/>
      <c r="F1382" s="1405"/>
      <c r="G1382" s="1405"/>
      <c r="H1382" s="1405"/>
      <c r="I1382" s="1405"/>
      <c r="J1382" s="1405"/>
      <c r="K1382" s="1405"/>
      <c r="L1382" s="1405"/>
      <c r="M1382" s="1405"/>
      <c r="S1382" s="1731"/>
    </row>
    <row r="1383" spans="1:19" x14ac:dyDescent="0.2">
      <c r="A1383" s="1402"/>
      <c r="B1383" s="1405"/>
      <c r="C1383" s="1407"/>
      <c r="D1383" s="1405"/>
      <c r="E1383" s="1405"/>
      <c r="F1383" s="1405"/>
      <c r="G1383" s="1405"/>
      <c r="H1383" s="1405"/>
      <c r="I1383" s="1405"/>
      <c r="J1383" s="1405"/>
      <c r="K1383" s="1405"/>
      <c r="L1383" s="1405"/>
      <c r="M1383" s="1405"/>
      <c r="S1383" s="1731"/>
    </row>
    <row r="1384" spans="1:19" x14ac:dyDescent="0.2">
      <c r="A1384" s="1402"/>
      <c r="B1384" s="1405"/>
      <c r="C1384" s="1407"/>
      <c r="D1384" s="1405"/>
      <c r="E1384" s="1405"/>
      <c r="F1384" s="1405"/>
      <c r="G1384" s="1405"/>
      <c r="H1384" s="1405"/>
      <c r="I1384" s="1405"/>
      <c r="J1384" s="1405"/>
      <c r="K1384" s="1405"/>
      <c r="L1384" s="1405"/>
      <c r="M1384" s="1405"/>
      <c r="S1384" s="1731"/>
    </row>
    <row r="1385" spans="1:19" x14ac:dyDescent="0.2">
      <c r="A1385" s="1402"/>
      <c r="B1385" s="1405"/>
      <c r="C1385" s="1407"/>
      <c r="D1385" s="1405"/>
      <c r="E1385" s="1405"/>
      <c r="F1385" s="1405"/>
      <c r="G1385" s="1405"/>
      <c r="H1385" s="1405"/>
      <c r="I1385" s="1405"/>
      <c r="J1385" s="1405"/>
      <c r="K1385" s="1405"/>
      <c r="L1385" s="1405"/>
      <c r="M1385" s="1405"/>
      <c r="S1385" s="1731"/>
    </row>
    <row r="1386" spans="1:19" x14ac:dyDescent="0.2">
      <c r="A1386" s="1402"/>
      <c r="B1386" s="1405"/>
      <c r="C1386" s="1407"/>
      <c r="D1386" s="1405"/>
      <c r="E1386" s="1405"/>
      <c r="F1386" s="1405"/>
      <c r="G1386" s="1405"/>
      <c r="H1386" s="1405"/>
      <c r="I1386" s="1405"/>
      <c r="J1386" s="1405"/>
      <c r="K1386" s="1405"/>
      <c r="L1386" s="1405"/>
      <c r="M1386" s="1405"/>
      <c r="S1386" s="1731"/>
    </row>
    <row r="1387" spans="1:19" x14ac:dyDescent="0.2">
      <c r="A1387" s="1402"/>
      <c r="B1387" s="1405"/>
      <c r="C1387" s="1407"/>
      <c r="D1387" s="1405"/>
      <c r="E1387" s="1405"/>
      <c r="F1387" s="1405"/>
      <c r="G1387" s="1405"/>
      <c r="H1387" s="1405"/>
      <c r="I1387" s="1405"/>
      <c r="J1387" s="1405"/>
      <c r="K1387" s="1405"/>
      <c r="L1387" s="1405"/>
      <c r="M1387" s="1405"/>
      <c r="S1387" s="1731"/>
    </row>
    <row r="1388" spans="1:19" x14ac:dyDescent="0.2">
      <c r="A1388" s="1402"/>
      <c r="B1388" s="1405"/>
      <c r="C1388" s="1407"/>
      <c r="D1388" s="1405"/>
      <c r="E1388" s="1405"/>
      <c r="F1388" s="1405"/>
      <c r="G1388" s="1405"/>
      <c r="H1388" s="1405"/>
      <c r="I1388" s="1405"/>
      <c r="J1388" s="1405"/>
      <c r="K1388" s="1405"/>
      <c r="L1388" s="1405"/>
      <c r="M1388" s="1405"/>
      <c r="S1388" s="1731"/>
    </row>
    <row r="1389" spans="1:19" x14ac:dyDescent="0.2">
      <c r="A1389" s="1402"/>
      <c r="B1389" s="1405"/>
      <c r="C1389" s="1407"/>
      <c r="D1389" s="1405"/>
      <c r="E1389" s="1405"/>
      <c r="F1389" s="1405"/>
      <c r="G1389" s="1405"/>
      <c r="H1389" s="1405"/>
      <c r="I1389" s="1405"/>
      <c r="J1389" s="1405"/>
      <c r="K1389" s="1405"/>
      <c r="L1389" s="1405"/>
      <c r="M1389" s="1405"/>
      <c r="S1389" s="1731"/>
    </row>
    <row r="1390" spans="1:19" x14ac:dyDescent="0.2">
      <c r="A1390" s="1402"/>
      <c r="B1390" s="1405"/>
      <c r="C1390" s="1407"/>
      <c r="D1390" s="1405"/>
      <c r="E1390" s="1405"/>
      <c r="F1390" s="1405"/>
      <c r="G1390" s="1405"/>
      <c r="H1390" s="1405"/>
      <c r="I1390" s="1405"/>
      <c r="J1390" s="1405"/>
      <c r="K1390" s="1405"/>
      <c r="L1390" s="1405"/>
      <c r="M1390" s="1405"/>
      <c r="S1390" s="1731"/>
    </row>
    <row r="1391" spans="1:19" x14ac:dyDescent="0.2">
      <c r="A1391" s="1402"/>
      <c r="B1391" s="1405"/>
      <c r="C1391" s="1407"/>
      <c r="D1391" s="1405"/>
      <c r="E1391" s="1405"/>
      <c r="F1391" s="1405"/>
      <c r="G1391" s="1405"/>
      <c r="H1391" s="1405"/>
      <c r="I1391" s="1405"/>
      <c r="J1391" s="1405"/>
      <c r="K1391" s="1405"/>
      <c r="L1391" s="1405"/>
      <c r="M1391" s="1405"/>
      <c r="S1391" s="1731"/>
    </row>
    <row r="1392" spans="1:19" x14ac:dyDescent="0.2">
      <c r="A1392" s="1402"/>
      <c r="B1392" s="1405"/>
      <c r="C1392" s="1407"/>
      <c r="D1392" s="1405"/>
      <c r="E1392" s="1405"/>
      <c r="F1392" s="1405"/>
      <c r="G1392" s="1405"/>
      <c r="H1392" s="1405"/>
      <c r="I1392" s="1405"/>
      <c r="J1392" s="1405"/>
      <c r="K1392" s="1405"/>
      <c r="L1392" s="1405"/>
      <c r="M1392" s="1405"/>
      <c r="S1392" s="1731"/>
    </row>
    <row r="1393" spans="1:19" x14ac:dyDescent="0.2">
      <c r="A1393" s="1402"/>
      <c r="B1393" s="1405"/>
      <c r="C1393" s="1407"/>
      <c r="D1393" s="1405"/>
      <c r="E1393" s="1405"/>
      <c r="F1393" s="1405"/>
      <c r="G1393" s="1405"/>
      <c r="H1393" s="1405"/>
      <c r="I1393" s="1405"/>
      <c r="J1393" s="1405"/>
      <c r="K1393" s="1405"/>
      <c r="L1393" s="1405"/>
      <c r="M1393" s="1405"/>
      <c r="S1393" s="1731"/>
    </row>
    <row r="1394" spans="1:19" x14ac:dyDescent="0.2">
      <c r="A1394" s="1402"/>
      <c r="B1394" s="1405"/>
      <c r="C1394" s="1407"/>
      <c r="D1394" s="1405"/>
      <c r="E1394" s="1405"/>
      <c r="F1394" s="1405"/>
      <c r="G1394" s="1405"/>
      <c r="H1394" s="1405"/>
      <c r="I1394" s="1405"/>
      <c r="J1394" s="1405"/>
      <c r="K1394" s="1405"/>
      <c r="L1394" s="1405"/>
      <c r="M1394" s="1405"/>
      <c r="S1394" s="1731"/>
    </row>
    <row r="1395" spans="1:19" x14ac:dyDescent="0.2">
      <c r="A1395" s="1402"/>
      <c r="B1395" s="1405"/>
      <c r="C1395" s="1407"/>
      <c r="D1395" s="1405"/>
      <c r="E1395" s="1405"/>
      <c r="F1395" s="1405"/>
      <c r="G1395" s="1405"/>
      <c r="H1395" s="1405"/>
      <c r="I1395" s="1405"/>
      <c r="J1395" s="1405"/>
      <c r="K1395" s="1405"/>
      <c r="L1395" s="1405"/>
      <c r="M1395" s="1405"/>
      <c r="S1395" s="1731"/>
    </row>
    <row r="1396" spans="1:19" x14ac:dyDescent="0.2">
      <c r="A1396" s="1402"/>
      <c r="B1396" s="1405"/>
      <c r="C1396" s="1407"/>
      <c r="D1396" s="1405"/>
      <c r="E1396" s="1405"/>
      <c r="F1396" s="1405"/>
      <c r="G1396" s="1405"/>
      <c r="H1396" s="1405"/>
      <c r="I1396" s="1405"/>
      <c r="J1396" s="1405"/>
      <c r="K1396" s="1405"/>
      <c r="L1396" s="1405"/>
      <c r="M1396" s="1405"/>
      <c r="S1396" s="1731"/>
    </row>
    <row r="1397" spans="1:19" x14ac:dyDescent="0.2">
      <c r="A1397" s="1402"/>
      <c r="B1397" s="1405"/>
      <c r="C1397" s="1407"/>
      <c r="D1397" s="1405"/>
      <c r="E1397" s="1405"/>
      <c r="F1397" s="1405"/>
      <c r="G1397" s="1405"/>
      <c r="H1397" s="1405"/>
      <c r="I1397" s="1405"/>
      <c r="J1397" s="1405"/>
      <c r="K1397" s="1405"/>
      <c r="L1397" s="1405"/>
      <c r="M1397" s="1405"/>
      <c r="S1397" s="1731"/>
    </row>
    <row r="1398" spans="1:19" x14ac:dyDescent="0.2">
      <c r="A1398" s="1402"/>
      <c r="B1398" s="1405"/>
      <c r="C1398" s="1407"/>
      <c r="D1398" s="1405"/>
      <c r="E1398" s="1405"/>
      <c r="F1398" s="1405"/>
      <c r="G1398" s="1405"/>
      <c r="H1398" s="1405"/>
      <c r="I1398" s="1405"/>
      <c r="J1398" s="1405"/>
      <c r="K1398" s="1405"/>
      <c r="L1398" s="1405"/>
      <c r="M1398" s="1405"/>
      <c r="S1398" s="1731"/>
    </row>
    <row r="1399" spans="1:19" x14ac:dyDescent="0.2">
      <c r="A1399" s="1402"/>
      <c r="B1399" s="1405"/>
      <c r="C1399" s="1407"/>
      <c r="D1399" s="1405"/>
      <c r="E1399" s="1405"/>
      <c r="F1399" s="1405"/>
      <c r="G1399" s="1405"/>
      <c r="H1399" s="1405"/>
      <c r="I1399" s="1405"/>
      <c r="J1399" s="1405"/>
      <c r="K1399" s="1405"/>
      <c r="L1399" s="1405"/>
      <c r="M1399" s="1405"/>
      <c r="S1399" s="1731"/>
    </row>
    <row r="1400" spans="1:19" x14ac:dyDescent="0.2">
      <c r="A1400" s="1402"/>
      <c r="B1400" s="1405"/>
      <c r="C1400" s="1407"/>
      <c r="D1400" s="1405"/>
      <c r="E1400" s="1405"/>
      <c r="F1400" s="1405"/>
      <c r="G1400" s="1405"/>
      <c r="H1400" s="1405"/>
      <c r="I1400" s="1405"/>
      <c r="J1400" s="1405"/>
      <c r="K1400" s="1405"/>
      <c r="L1400" s="1405"/>
      <c r="M1400" s="1405"/>
      <c r="S1400" s="1731"/>
    </row>
    <row r="1401" spans="1:19" x14ac:dyDescent="0.2">
      <c r="A1401" s="1402"/>
      <c r="B1401" s="1405"/>
      <c r="C1401" s="1407"/>
      <c r="D1401" s="1405"/>
      <c r="E1401" s="1405"/>
      <c r="F1401" s="1405"/>
      <c r="G1401" s="1405"/>
      <c r="H1401" s="1405"/>
      <c r="I1401" s="1405"/>
      <c r="J1401" s="1405"/>
      <c r="K1401" s="1405"/>
      <c r="L1401" s="1405"/>
      <c r="M1401" s="1405"/>
      <c r="S1401" s="1731"/>
    </row>
    <row r="1402" spans="1:19" x14ac:dyDescent="0.2">
      <c r="A1402" s="1402"/>
      <c r="B1402" s="1405"/>
      <c r="C1402" s="1407"/>
      <c r="D1402" s="1405"/>
      <c r="E1402" s="1405"/>
      <c r="F1402" s="1405"/>
      <c r="G1402" s="1405"/>
      <c r="H1402" s="1405"/>
      <c r="I1402" s="1405"/>
      <c r="J1402" s="1405"/>
      <c r="K1402" s="1405"/>
      <c r="L1402" s="1405"/>
      <c r="M1402" s="1405"/>
      <c r="S1402" s="1731"/>
    </row>
    <row r="1403" spans="1:19" x14ac:dyDescent="0.2">
      <c r="A1403" s="1402"/>
      <c r="B1403" s="1405"/>
      <c r="C1403" s="1407"/>
      <c r="D1403" s="1405"/>
      <c r="E1403" s="1405"/>
      <c r="F1403" s="1405"/>
      <c r="G1403" s="1405"/>
      <c r="H1403" s="1405"/>
      <c r="I1403" s="1405"/>
      <c r="J1403" s="1405"/>
      <c r="K1403" s="1405"/>
      <c r="L1403" s="1405"/>
      <c r="M1403" s="1405"/>
      <c r="S1403" s="1731"/>
    </row>
    <row r="1404" spans="1:19" x14ac:dyDescent="0.2">
      <c r="A1404" s="1402"/>
      <c r="B1404" s="1405"/>
      <c r="C1404" s="1407"/>
      <c r="D1404" s="1405"/>
      <c r="E1404" s="1405"/>
      <c r="F1404" s="1405"/>
      <c r="G1404" s="1405"/>
      <c r="H1404" s="1405"/>
      <c r="I1404" s="1405"/>
      <c r="J1404" s="1405"/>
      <c r="K1404" s="1405"/>
      <c r="L1404" s="1405"/>
      <c r="M1404" s="1405"/>
      <c r="S1404" s="1731"/>
    </row>
    <row r="1405" spans="1:19" x14ac:dyDescent="0.2">
      <c r="A1405" s="1402"/>
      <c r="B1405" s="1405"/>
      <c r="C1405" s="1407"/>
      <c r="D1405" s="1405"/>
      <c r="E1405" s="1405"/>
      <c r="F1405" s="1405"/>
      <c r="G1405" s="1405"/>
      <c r="H1405" s="1405"/>
      <c r="I1405" s="1405"/>
      <c r="J1405" s="1405"/>
      <c r="K1405" s="1405"/>
      <c r="L1405" s="1405"/>
      <c r="M1405" s="1405"/>
      <c r="S1405" s="1731"/>
    </row>
    <row r="1406" spans="1:19" x14ac:dyDescent="0.2">
      <c r="A1406" s="1402"/>
      <c r="B1406" s="1405"/>
      <c r="C1406" s="1407"/>
      <c r="D1406" s="1405"/>
      <c r="E1406" s="1405"/>
      <c r="F1406" s="1405"/>
      <c r="G1406" s="1405"/>
      <c r="H1406" s="1405"/>
      <c r="I1406" s="1405"/>
      <c r="J1406" s="1405"/>
      <c r="K1406" s="1405"/>
      <c r="L1406" s="1405"/>
      <c r="M1406" s="1405"/>
      <c r="S1406" s="1731"/>
    </row>
    <row r="1407" spans="1:19" x14ac:dyDescent="0.2">
      <c r="A1407" s="1402"/>
      <c r="B1407" s="1405"/>
      <c r="C1407" s="1407"/>
      <c r="D1407" s="1405"/>
      <c r="E1407" s="1405"/>
      <c r="F1407" s="1405"/>
      <c r="G1407" s="1405"/>
      <c r="H1407" s="1405"/>
      <c r="I1407" s="1405"/>
      <c r="J1407" s="1405"/>
      <c r="K1407" s="1405"/>
      <c r="L1407" s="1405"/>
      <c r="M1407" s="1405"/>
      <c r="S1407" s="1731"/>
    </row>
    <row r="1408" spans="1:19" x14ac:dyDescent="0.2">
      <c r="A1408" s="1402"/>
      <c r="B1408" s="1405"/>
      <c r="C1408" s="1407"/>
      <c r="D1408" s="1405"/>
      <c r="E1408" s="1405"/>
      <c r="F1408" s="1405"/>
      <c r="G1408" s="1405"/>
      <c r="H1408" s="1405"/>
      <c r="I1408" s="1405"/>
      <c r="J1408" s="1405"/>
      <c r="K1408" s="1405"/>
      <c r="L1408" s="1405"/>
      <c r="M1408" s="1405"/>
      <c r="S1408" s="1731"/>
    </row>
    <row r="1409" spans="1:19" x14ac:dyDescent="0.2">
      <c r="A1409" s="1402"/>
      <c r="B1409" s="1405"/>
      <c r="C1409" s="1407"/>
      <c r="D1409" s="1405"/>
      <c r="E1409" s="1405"/>
      <c r="F1409" s="1405"/>
      <c r="G1409" s="1405"/>
      <c r="H1409" s="1405"/>
      <c r="I1409" s="1405"/>
      <c r="J1409" s="1405"/>
      <c r="K1409" s="1405"/>
      <c r="L1409" s="1405"/>
      <c r="M1409" s="1405"/>
      <c r="S1409" s="1731"/>
    </row>
    <row r="1410" spans="1:19" x14ac:dyDescent="0.2">
      <c r="A1410" s="1402"/>
      <c r="B1410" s="1405"/>
      <c r="C1410" s="1407"/>
      <c r="D1410" s="1405"/>
      <c r="E1410" s="1405"/>
      <c r="F1410" s="1405"/>
      <c r="G1410" s="1405"/>
      <c r="H1410" s="1405"/>
      <c r="I1410" s="1405"/>
      <c r="J1410" s="1405"/>
      <c r="K1410" s="1405"/>
      <c r="L1410" s="1405"/>
      <c r="M1410" s="1405"/>
      <c r="S1410" s="1731"/>
    </row>
    <row r="1411" spans="1:19" x14ac:dyDescent="0.2">
      <c r="A1411" s="1402"/>
      <c r="B1411" s="1405"/>
      <c r="C1411" s="1407"/>
      <c r="D1411" s="1405"/>
      <c r="E1411" s="1405"/>
      <c r="F1411" s="1405"/>
      <c r="G1411" s="1405"/>
      <c r="H1411" s="1405"/>
      <c r="I1411" s="1405"/>
      <c r="J1411" s="1405"/>
      <c r="K1411" s="1405"/>
      <c r="L1411" s="1405"/>
      <c r="M1411" s="1405"/>
      <c r="S1411" s="1731"/>
    </row>
    <row r="1412" spans="1:19" x14ac:dyDescent="0.2">
      <c r="A1412" s="1402"/>
      <c r="B1412" s="1405"/>
      <c r="C1412" s="1407"/>
      <c r="D1412" s="1405"/>
      <c r="E1412" s="1405"/>
      <c r="F1412" s="1405"/>
      <c r="G1412" s="1405"/>
      <c r="H1412" s="1405"/>
      <c r="I1412" s="1405"/>
      <c r="J1412" s="1405"/>
      <c r="K1412" s="1405"/>
      <c r="L1412" s="1405"/>
      <c r="M1412" s="1405"/>
      <c r="S1412" s="1731"/>
    </row>
    <row r="1413" spans="1:19" x14ac:dyDescent="0.2">
      <c r="A1413" s="1402"/>
      <c r="B1413" s="1405"/>
      <c r="C1413" s="1407"/>
      <c r="D1413" s="1405"/>
      <c r="E1413" s="1405"/>
      <c r="F1413" s="1405"/>
      <c r="G1413" s="1405"/>
      <c r="H1413" s="1405"/>
      <c r="I1413" s="1405"/>
      <c r="J1413" s="1405"/>
      <c r="K1413" s="1405"/>
      <c r="L1413" s="1405"/>
      <c r="M1413" s="1405"/>
      <c r="S1413" s="1731"/>
    </row>
    <row r="1414" spans="1:19" x14ac:dyDescent="0.2">
      <c r="A1414" s="1402"/>
      <c r="B1414" s="1405"/>
      <c r="C1414" s="1407"/>
      <c r="D1414" s="1405"/>
      <c r="E1414" s="1405"/>
      <c r="F1414" s="1405"/>
      <c r="G1414" s="1405"/>
      <c r="H1414" s="1405"/>
      <c r="I1414" s="1405"/>
      <c r="J1414" s="1405"/>
      <c r="K1414" s="1405"/>
      <c r="L1414" s="1405"/>
      <c r="M1414" s="1405"/>
      <c r="S1414" s="1731"/>
    </row>
    <row r="1415" spans="1:19" x14ac:dyDescent="0.2">
      <c r="A1415" s="1402"/>
      <c r="B1415" s="1405"/>
      <c r="C1415" s="1407"/>
      <c r="D1415" s="1405"/>
      <c r="E1415" s="1405"/>
      <c r="F1415" s="1405"/>
      <c r="G1415" s="1405"/>
      <c r="H1415" s="1405"/>
      <c r="I1415" s="1405"/>
      <c r="J1415" s="1405"/>
      <c r="K1415" s="1405"/>
      <c r="L1415" s="1405"/>
      <c r="M1415" s="1405"/>
      <c r="S1415" s="1731"/>
    </row>
    <row r="1416" spans="1:19" x14ac:dyDescent="0.2">
      <c r="A1416" s="1402"/>
      <c r="B1416" s="1405"/>
      <c r="C1416" s="1407"/>
      <c r="D1416" s="1405"/>
      <c r="E1416" s="1405"/>
      <c r="F1416" s="1405"/>
      <c r="G1416" s="1405"/>
      <c r="H1416" s="1405"/>
      <c r="I1416" s="1405"/>
      <c r="J1416" s="1405"/>
      <c r="K1416" s="1405"/>
      <c r="L1416" s="1405"/>
      <c r="M1416" s="1405"/>
      <c r="S1416" s="1731"/>
    </row>
    <row r="1417" spans="1:19" x14ac:dyDescent="0.2">
      <c r="A1417" s="1402"/>
      <c r="B1417" s="1405"/>
      <c r="C1417" s="1407"/>
      <c r="D1417" s="1405"/>
      <c r="E1417" s="1405"/>
      <c r="F1417" s="1405"/>
      <c r="G1417" s="1405"/>
      <c r="H1417" s="1405"/>
      <c r="I1417" s="1405"/>
      <c r="J1417" s="1405"/>
      <c r="K1417" s="1405"/>
      <c r="L1417" s="1405"/>
      <c r="M1417" s="1405"/>
      <c r="S1417" s="1731"/>
    </row>
    <row r="1418" spans="1:19" x14ac:dyDescent="0.2">
      <c r="A1418" s="1402"/>
      <c r="B1418" s="1405"/>
      <c r="C1418" s="1407"/>
      <c r="D1418" s="1405"/>
      <c r="E1418" s="1405"/>
      <c r="F1418" s="1405"/>
      <c r="G1418" s="1405"/>
      <c r="H1418" s="1405"/>
      <c r="I1418" s="1405"/>
      <c r="J1418" s="1405"/>
      <c r="K1418" s="1405"/>
      <c r="L1418" s="1405"/>
      <c r="M1418" s="1405"/>
      <c r="S1418" s="1731"/>
    </row>
    <row r="1419" spans="1:19" x14ac:dyDescent="0.2">
      <c r="A1419" s="1402"/>
      <c r="B1419" s="1405"/>
      <c r="C1419" s="1407"/>
      <c r="D1419" s="1405"/>
      <c r="E1419" s="1405"/>
      <c r="F1419" s="1405"/>
      <c r="G1419" s="1405"/>
      <c r="H1419" s="1405"/>
      <c r="I1419" s="1405"/>
      <c r="J1419" s="1405"/>
      <c r="K1419" s="1405"/>
      <c r="L1419" s="1405"/>
      <c r="M1419" s="1405"/>
      <c r="S1419" s="1731"/>
    </row>
    <row r="1420" spans="1:19" x14ac:dyDescent="0.2">
      <c r="A1420" s="1402"/>
      <c r="B1420" s="1405"/>
      <c r="C1420" s="1407"/>
      <c r="D1420" s="1405"/>
      <c r="E1420" s="1405"/>
      <c r="F1420" s="1405"/>
      <c r="G1420" s="1405"/>
      <c r="H1420" s="1405"/>
      <c r="I1420" s="1405"/>
      <c r="J1420" s="1405"/>
      <c r="K1420" s="1405"/>
      <c r="L1420" s="1405"/>
      <c r="M1420" s="1405"/>
      <c r="S1420" s="1731"/>
    </row>
    <row r="1421" spans="1:19" x14ac:dyDescent="0.2">
      <c r="A1421" s="1402"/>
      <c r="B1421" s="1405"/>
      <c r="C1421" s="1407"/>
      <c r="D1421" s="1405"/>
      <c r="E1421" s="1405"/>
      <c r="F1421" s="1405"/>
      <c r="G1421" s="1405"/>
      <c r="H1421" s="1405"/>
      <c r="I1421" s="1405"/>
      <c r="J1421" s="1405"/>
      <c r="K1421" s="1405"/>
      <c r="L1421" s="1405"/>
      <c r="M1421" s="1405"/>
      <c r="S1421" s="1731"/>
    </row>
    <row r="1422" spans="1:19" x14ac:dyDescent="0.2">
      <c r="A1422" s="1402"/>
      <c r="B1422" s="1405"/>
      <c r="C1422" s="1407"/>
      <c r="D1422" s="1405"/>
      <c r="E1422" s="1405"/>
      <c r="F1422" s="1405"/>
      <c r="G1422" s="1405"/>
      <c r="H1422" s="1405"/>
      <c r="I1422" s="1405"/>
      <c r="J1422" s="1405"/>
      <c r="K1422" s="1405"/>
      <c r="L1422" s="1405"/>
      <c r="M1422" s="1405"/>
      <c r="S1422" s="1731"/>
    </row>
    <row r="1423" spans="1:19" x14ac:dyDescent="0.2">
      <c r="A1423" s="1402"/>
      <c r="B1423" s="1405"/>
      <c r="C1423" s="1407"/>
      <c r="D1423" s="1405"/>
      <c r="E1423" s="1405"/>
      <c r="F1423" s="1405"/>
      <c r="G1423" s="1405"/>
      <c r="H1423" s="1405"/>
      <c r="I1423" s="1405"/>
      <c r="J1423" s="1405"/>
      <c r="K1423" s="1405"/>
      <c r="L1423" s="1405"/>
      <c r="M1423" s="1405"/>
      <c r="S1423" s="1731"/>
    </row>
    <row r="1424" spans="1:19" x14ac:dyDescent="0.2">
      <c r="A1424" s="1402"/>
      <c r="B1424" s="1405"/>
      <c r="C1424" s="1407"/>
      <c r="D1424" s="1405"/>
      <c r="E1424" s="1405"/>
      <c r="F1424" s="1405"/>
      <c r="G1424" s="1405"/>
      <c r="H1424" s="1405"/>
      <c r="I1424" s="1405"/>
      <c r="J1424" s="1405"/>
      <c r="K1424" s="1405"/>
      <c r="L1424" s="1405"/>
      <c r="M1424" s="1405"/>
      <c r="S1424" s="1731"/>
    </row>
    <row r="1425" spans="1:19" x14ac:dyDescent="0.2">
      <c r="A1425" s="1402"/>
      <c r="B1425" s="1405"/>
      <c r="C1425" s="1407"/>
      <c r="D1425" s="1405"/>
      <c r="E1425" s="1405"/>
      <c r="F1425" s="1405"/>
      <c r="G1425" s="1405"/>
      <c r="H1425" s="1405"/>
      <c r="I1425" s="1405"/>
      <c r="J1425" s="1405"/>
      <c r="K1425" s="1405"/>
      <c r="L1425" s="1405"/>
      <c r="M1425" s="1405"/>
      <c r="S1425" s="1731"/>
    </row>
    <row r="1426" spans="1:19" x14ac:dyDescent="0.2">
      <c r="A1426" s="1402"/>
      <c r="B1426" s="1405"/>
      <c r="C1426" s="1407"/>
      <c r="D1426" s="1405"/>
      <c r="E1426" s="1405"/>
      <c r="F1426" s="1405"/>
      <c r="G1426" s="1405"/>
      <c r="H1426" s="1405"/>
      <c r="I1426" s="1405"/>
      <c r="J1426" s="1405"/>
      <c r="K1426" s="1405"/>
      <c r="L1426" s="1405"/>
      <c r="M1426" s="1405"/>
      <c r="S1426" s="1731"/>
    </row>
    <row r="1427" spans="1:19" x14ac:dyDescent="0.2">
      <c r="A1427" s="1402"/>
      <c r="B1427" s="1405"/>
      <c r="C1427" s="1407"/>
      <c r="D1427" s="1405"/>
      <c r="E1427" s="1405"/>
      <c r="F1427" s="1405"/>
      <c r="G1427" s="1405"/>
      <c r="H1427" s="1405"/>
      <c r="I1427" s="1405"/>
      <c r="J1427" s="1405"/>
      <c r="K1427" s="1405"/>
      <c r="L1427" s="1405"/>
      <c r="M1427" s="1405"/>
      <c r="S1427" s="1731"/>
    </row>
    <row r="1428" spans="1:19" x14ac:dyDescent="0.2">
      <c r="A1428" s="1402"/>
      <c r="B1428" s="1405"/>
      <c r="C1428" s="1407"/>
      <c r="D1428" s="1405"/>
      <c r="E1428" s="1405"/>
      <c r="F1428" s="1405"/>
      <c r="G1428" s="1405"/>
      <c r="H1428" s="1405"/>
      <c r="I1428" s="1405"/>
      <c r="J1428" s="1405"/>
      <c r="K1428" s="1405"/>
      <c r="L1428" s="1405"/>
      <c r="M1428" s="1405"/>
      <c r="S1428" s="1731"/>
    </row>
    <row r="1429" spans="1:19" x14ac:dyDescent="0.2">
      <c r="A1429" s="1402"/>
      <c r="B1429" s="1405"/>
      <c r="C1429" s="1407"/>
      <c r="D1429" s="1405"/>
      <c r="E1429" s="1405"/>
      <c r="F1429" s="1405"/>
      <c r="G1429" s="1405"/>
      <c r="H1429" s="1405"/>
      <c r="I1429" s="1405"/>
      <c r="J1429" s="1405"/>
      <c r="K1429" s="1405"/>
      <c r="L1429" s="1405"/>
      <c r="M1429" s="1405"/>
      <c r="S1429" s="1731"/>
    </row>
    <row r="1430" spans="1:19" x14ac:dyDescent="0.2">
      <c r="A1430" s="1402"/>
      <c r="B1430" s="1405"/>
      <c r="C1430" s="1407"/>
      <c r="D1430" s="1405"/>
      <c r="E1430" s="1405"/>
      <c r="F1430" s="1405"/>
      <c r="G1430" s="1405"/>
      <c r="H1430" s="1405"/>
      <c r="I1430" s="1405"/>
      <c r="J1430" s="1405"/>
      <c r="K1430" s="1405"/>
      <c r="L1430" s="1405"/>
      <c r="M1430" s="1405"/>
      <c r="S1430" s="1731"/>
    </row>
    <row r="1431" spans="1:19" x14ac:dyDescent="0.2">
      <c r="A1431" s="1402"/>
      <c r="B1431" s="1405"/>
      <c r="C1431" s="1407"/>
      <c r="D1431" s="1405"/>
      <c r="E1431" s="1405"/>
      <c r="F1431" s="1405"/>
      <c r="G1431" s="1405"/>
      <c r="H1431" s="1405"/>
      <c r="I1431" s="1405"/>
      <c r="J1431" s="1405"/>
      <c r="K1431" s="1405"/>
      <c r="L1431" s="1405"/>
      <c r="M1431" s="1405"/>
      <c r="S1431" s="1731"/>
    </row>
    <row r="1432" spans="1:19" x14ac:dyDescent="0.2">
      <c r="A1432" s="1402"/>
      <c r="B1432" s="1405"/>
      <c r="C1432" s="1407"/>
      <c r="D1432" s="1405"/>
      <c r="E1432" s="1405"/>
      <c r="F1432" s="1405"/>
      <c r="G1432" s="1405"/>
      <c r="H1432" s="1405"/>
      <c r="I1432" s="1405"/>
      <c r="J1432" s="1405"/>
      <c r="K1432" s="1405"/>
      <c r="L1432" s="1405"/>
      <c r="M1432" s="1405"/>
      <c r="S1432" s="1731"/>
    </row>
    <row r="1433" spans="1:19" x14ac:dyDescent="0.2">
      <c r="A1433" s="1402"/>
      <c r="B1433" s="1405"/>
      <c r="C1433" s="1407"/>
      <c r="D1433" s="1405"/>
      <c r="E1433" s="1405"/>
      <c r="F1433" s="1405"/>
      <c r="G1433" s="1405"/>
      <c r="H1433" s="1405"/>
      <c r="I1433" s="1405"/>
      <c r="J1433" s="1405"/>
      <c r="K1433" s="1405"/>
      <c r="L1433" s="1405"/>
      <c r="M1433" s="1405"/>
      <c r="S1433" s="1731"/>
    </row>
    <row r="1434" spans="1:19" x14ac:dyDescent="0.2">
      <c r="A1434" s="1402"/>
      <c r="B1434" s="1405"/>
      <c r="C1434" s="1407"/>
      <c r="D1434" s="1405"/>
      <c r="E1434" s="1405"/>
      <c r="F1434" s="1405"/>
      <c r="G1434" s="1405"/>
      <c r="H1434" s="1405"/>
      <c r="I1434" s="1405"/>
      <c r="J1434" s="1405"/>
      <c r="K1434" s="1405"/>
      <c r="L1434" s="1405"/>
      <c r="M1434" s="1405"/>
      <c r="S1434" s="1731"/>
    </row>
    <row r="1435" spans="1:19" x14ac:dyDescent="0.2">
      <c r="A1435" s="1402"/>
      <c r="B1435" s="1405"/>
      <c r="C1435" s="1407"/>
      <c r="D1435" s="1405"/>
      <c r="E1435" s="1405"/>
      <c r="F1435" s="1405"/>
      <c r="G1435" s="1405"/>
      <c r="H1435" s="1405"/>
      <c r="I1435" s="1405"/>
      <c r="J1435" s="1405"/>
      <c r="K1435" s="1405"/>
      <c r="L1435" s="1405"/>
      <c r="M1435" s="1405"/>
      <c r="S1435" s="1731"/>
    </row>
    <row r="1436" spans="1:19" x14ac:dyDescent="0.2">
      <c r="A1436" s="1402"/>
      <c r="B1436" s="1405"/>
      <c r="C1436" s="1407"/>
      <c r="D1436" s="1405"/>
      <c r="E1436" s="1405"/>
      <c r="F1436" s="1405"/>
      <c r="G1436" s="1405"/>
      <c r="H1436" s="1405"/>
      <c r="I1436" s="1405"/>
      <c r="J1436" s="1405"/>
      <c r="K1436" s="1405"/>
      <c r="L1436" s="1405"/>
      <c r="M1436" s="1405"/>
      <c r="S1436" s="1731"/>
    </row>
    <row r="1437" spans="1:19" x14ac:dyDescent="0.2">
      <c r="A1437" s="1402"/>
      <c r="B1437" s="1405"/>
      <c r="C1437" s="1407"/>
      <c r="D1437" s="1405"/>
      <c r="E1437" s="1405"/>
      <c r="F1437" s="1405"/>
      <c r="G1437" s="1405"/>
      <c r="H1437" s="1405"/>
      <c r="I1437" s="1405"/>
      <c r="J1437" s="1405"/>
      <c r="K1437" s="1405"/>
      <c r="L1437" s="1405"/>
      <c r="M1437" s="1405"/>
      <c r="S1437" s="1731"/>
    </row>
    <row r="1438" spans="1:19" x14ac:dyDescent="0.2">
      <c r="A1438" s="1402"/>
      <c r="B1438" s="1405"/>
      <c r="C1438" s="1407"/>
      <c r="D1438" s="1405"/>
      <c r="E1438" s="1405"/>
      <c r="F1438" s="1405"/>
      <c r="G1438" s="1405"/>
      <c r="H1438" s="1405"/>
      <c r="I1438" s="1405"/>
      <c r="J1438" s="1405"/>
      <c r="K1438" s="1405"/>
      <c r="L1438" s="1405"/>
      <c r="M1438" s="1405"/>
      <c r="S1438" s="1731"/>
    </row>
    <row r="1439" spans="1:19" x14ac:dyDescent="0.2">
      <c r="A1439" s="1402"/>
      <c r="B1439" s="1405"/>
      <c r="C1439" s="1407"/>
      <c r="D1439" s="1405"/>
      <c r="E1439" s="1405"/>
      <c r="F1439" s="1405"/>
      <c r="G1439" s="1405"/>
      <c r="H1439" s="1405"/>
      <c r="I1439" s="1405"/>
      <c r="J1439" s="1405"/>
      <c r="K1439" s="1405"/>
      <c r="L1439" s="1405"/>
      <c r="M1439" s="1405"/>
      <c r="S1439" s="1731"/>
    </row>
    <row r="1440" spans="1:19" x14ac:dyDescent="0.2">
      <c r="A1440" s="1402"/>
      <c r="B1440" s="1405"/>
      <c r="C1440" s="1407"/>
      <c r="D1440" s="1405"/>
      <c r="E1440" s="1405"/>
      <c r="F1440" s="1405"/>
      <c r="G1440" s="1405"/>
      <c r="H1440" s="1405"/>
      <c r="I1440" s="1405"/>
      <c r="J1440" s="1405"/>
      <c r="K1440" s="1405"/>
      <c r="L1440" s="1405"/>
      <c r="M1440" s="1405"/>
      <c r="S1440" s="1731"/>
    </row>
    <row r="1441" spans="1:19" x14ac:dyDescent="0.2">
      <c r="A1441" s="1402"/>
      <c r="B1441" s="1405"/>
      <c r="C1441" s="1407"/>
      <c r="D1441" s="1405"/>
      <c r="E1441" s="1405"/>
      <c r="F1441" s="1405"/>
      <c r="G1441" s="1405"/>
      <c r="H1441" s="1405"/>
      <c r="I1441" s="1405"/>
      <c r="J1441" s="1405"/>
      <c r="K1441" s="1405"/>
      <c r="L1441" s="1405"/>
      <c r="M1441" s="1405"/>
      <c r="S1441" s="1731"/>
    </row>
    <row r="1442" spans="1:19" x14ac:dyDescent="0.2">
      <c r="A1442" s="1402"/>
      <c r="B1442" s="1405"/>
      <c r="C1442" s="1407"/>
      <c r="D1442" s="1405"/>
      <c r="E1442" s="1405"/>
      <c r="F1442" s="1405"/>
      <c r="G1442" s="1405"/>
      <c r="H1442" s="1405"/>
      <c r="I1442" s="1405"/>
      <c r="J1442" s="1405"/>
      <c r="K1442" s="1405"/>
      <c r="L1442" s="1405"/>
      <c r="M1442" s="1405"/>
      <c r="S1442" s="1731"/>
    </row>
    <row r="1443" spans="1:19" x14ac:dyDescent="0.2">
      <c r="A1443" s="1402"/>
      <c r="B1443" s="1405"/>
      <c r="C1443" s="1407"/>
      <c r="D1443" s="1405"/>
      <c r="E1443" s="1405"/>
      <c r="F1443" s="1405"/>
      <c r="G1443" s="1405"/>
      <c r="H1443" s="1405"/>
      <c r="I1443" s="1405"/>
      <c r="J1443" s="1405"/>
      <c r="K1443" s="1405"/>
      <c r="L1443" s="1405"/>
      <c r="M1443" s="1405"/>
      <c r="S1443" s="1731"/>
    </row>
    <row r="1444" spans="1:19" x14ac:dyDescent="0.2">
      <c r="A1444" s="1402"/>
      <c r="B1444" s="1405"/>
      <c r="C1444" s="1407"/>
      <c r="D1444" s="1405"/>
      <c r="E1444" s="1405"/>
      <c r="F1444" s="1405"/>
      <c r="G1444" s="1405"/>
      <c r="H1444" s="1405"/>
      <c r="I1444" s="1405"/>
      <c r="J1444" s="1405"/>
      <c r="K1444" s="1405"/>
      <c r="L1444" s="1405"/>
      <c r="M1444" s="1405"/>
      <c r="S1444" s="1731"/>
    </row>
    <row r="1445" spans="1:19" x14ac:dyDescent="0.2">
      <c r="A1445" s="1402"/>
      <c r="B1445" s="1405"/>
      <c r="C1445" s="1407"/>
      <c r="D1445" s="1405"/>
      <c r="E1445" s="1405"/>
      <c r="F1445" s="1405"/>
      <c r="G1445" s="1405"/>
      <c r="H1445" s="1405"/>
      <c r="I1445" s="1405"/>
      <c r="J1445" s="1405"/>
      <c r="K1445" s="1405"/>
      <c r="L1445" s="1405"/>
      <c r="M1445" s="1405"/>
      <c r="S1445" s="1731"/>
    </row>
    <row r="1446" spans="1:19" x14ac:dyDescent="0.2">
      <c r="A1446" s="1402"/>
      <c r="B1446" s="1405"/>
      <c r="C1446" s="1407"/>
      <c r="D1446" s="1405"/>
      <c r="E1446" s="1405"/>
      <c r="F1446" s="1405"/>
      <c r="G1446" s="1405"/>
      <c r="H1446" s="1405"/>
      <c r="I1446" s="1405"/>
      <c r="J1446" s="1405"/>
      <c r="K1446" s="1405"/>
      <c r="L1446" s="1405"/>
      <c r="M1446" s="1405"/>
      <c r="S1446" s="1731"/>
    </row>
    <row r="1447" spans="1:19" x14ac:dyDescent="0.2">
      <c r="A1447" s="1402"/>
      <c r="B1447" s="1405"/>
      <c r="C1447" s="1407"/>
      <c r="D1447" s="1405"/>
      <c r="E1447" s="1405"/>
      <c r="F1447" s="1405"/>
      <c r="G1447" s="1405"/>
      <c r="H1447" s="1405"/>
      <c r="I1447" s="1405"/>
      <c r="J1447" s="1405"/>
      <c r="K1447" s="1405"/>
      <c r="L1447" s="1405"/>
      <c r="M1447" s="1405"/>
      <c r="S1447" s="1731"/>
    </row>
    <row r="1448" spans="1:19" x14ac:dyDescent="0.2">
      <c r="A1448" s="1402"/>
      <c r="B1448" s="1405"/>
      <c r="C1448" s="1407"/>
      <c r="D1448" s="1405"/>
      <c r="E1448" s="1405"/>
      <c r="F1448" s="1405"/>
      <c r="G1448" s="1405"/>
      <c r="H1448" s="1405"/>
      <c r="I1448" s="1405"/>
      <c r="J1448" s="1405"/>
      <c r="K1448" s="1405"/>
      <c r="L1448" s="1405"/>
      <c r="M1448" s="1405"/>
      <c r="S1448" s="1731"/>
    </row>
    <row r="1449" spans="1:19" x14ac:dyDescent="0.2">
      <c r="A1449" s="1402"/>
      <c r="B1449" s="1405"/>
      <c r="C1449" s="1407"/>
      <c r="D1449" s="1405"/>
      <c r="E1449" s="1405"/>
      <c r="F1449" s="1405"/>
      <c r="G1449" s="1405"/>
      <c r="H1449" s="1405"/>
      <c r="I1449" s="1405"/>
      <c r="J1449" s="1405"/>
      <c r="K1449" s="1405"/>
      <c r="L1449" s="1405"/>
      <c r="M1449" s="1405"/>
      <c r="S1449" s="1731"/>
    </row>
    <row r="1450" spans="1:19" x14ac:dyDescent="0.2">
      <c r="A1450" s="1402"/>
      <c r="B1450" s="1405"/>
      <c r="C1450" s="1407"/>
      <c r="D1450" s="1405"/>
      <c r="E1450" s="1405"/>
      <c r="F1450" s="1405"/>
      <c r="G1450" s="1405"/>
      <c r="H1450" s="1405"/>
      <c r="I1450" s="1405"/>
      <c r="J1450" s="1405"/>
      <c r="K1450" s="1405"/>
      <c r="L1450" s="1405"/>
      <c r="M1450" s="1405"/>
      <c r="S1450" s="1731"/>
    </row>
    <row r="1451" spans="1:19" x14ac:dyDescent="0.2">
      <c r="A1451" s="1402"/>
      <c r="B1451" s="1405"/>
      <c r="C1451" s="1407"/>
      <c r="D1451" s="1405"/>
      <c r="E1451" s="1405"/>
      <c r="F1451" s="1405"/>
      <c r="G1451" s="1405"/>
      <c r="H1451" s="1405"/>
      <c r="I1451" s="1405"/>
      <c r="J1451" s="1405"/>
      <c r="K1451" s="1405"/>
      <c r="L1451" s="1405"/>
      <c r="M1451" s="1405"/>
      <c r="S1451" s="1731"/>
    </row>
    <row r="1452" spans="1:19" x14ac:dyDescent="0.2">
      <c r="A1452" s="1402"/>
      <c r="B1452" s="1405"/>
      <c r="C1452" s="1407"/>
      <c r="D1452" s="1405"/>
      <c r="E1452" s="1405"/>
      <c r="F1452" s="1405"/>
      <c r="G1452" s="1405"/>
      <c r="H1452" s="1405"/>
      <c r="I1452" s="1405"/>
      <c r="J1452" s="1405"/>
      <c r="K1452" s="1405"/>
      <c r="L1452" s="1405"/>
      <c r="M1452" s="1405"/>
      <c r="S1452" s="1731"/>
    </row>
    <row r="1453" spans="1:19" x14ac:dyDescent="0.2">
      <c r="A1453" s="1402"/>
      <c r="B1453" s="1405"/>
      <c r="C1453" s="1407"/>
      <c r="D1453" s="1405"/>
      <c r="E1453" s="1405"/>
      <c r="F1453" s="1405"/>
      <c r="G1453" s="1405"/>
      <c r="H1453" s="1405"/>
      <c r="I1453" s="1405"/>
      <c r="J1453" s="1405"/>
      <c r="K1453" s="1405"/>
      <c r="L1453" s="1405"/>
      <c r="M1453" s="1405"/>
      <c r="S1453" s="1731"/>
    </row>
    <row r="1454" spans="1:19" x14ac:dyDescent="0.2">
      <c r="A1454" s="1402"/>
      <c r="B1454" s="1405"/>
      <c r="C1454" s="1407"/>
      <c r="D1454" s="1405"/>
      <c r="E1454" s="1405"/>
      <c r="F1454" s="1405"/>
      <c r="G1454" s="1405"/>
      <c r="H1454" s="1405"/>
      <c r="I1454" s="1405"/>
      <c r="J1454" s="1405"/>
      <c r="K1454" s="1405"/>
      <c r="L1454" s="1405"/>
      <c r="M1454" s="1405"/>
      <c r="S1454" s="1731"/>
    </row>
    <row r="1455" spans="1:19" x14ac:dyDescent="0.2">
      <c r="A1455" s="1402"/>
      <c r="B1455" s="1405"/>
      <c r="C1455" s="1407"/>
      <c r="D1455" s="1405"/>
      <c r="E1455" s="1405"/>
      <c r="F1455" s="1405"/>
      <c r="G1455" s="1405"/>
      <c r="H1455" s="1405"/>
      <c r="I1455" s="1405"/>
      <c r="J1455" s="1405"/>
      <c r="K1455" s="1405"/>
      <c r="L1455" s="1405"/>
      <c r="M1455" s="1405"/>
      <c r="S1455" s="1731"/>
    </row>
    <row r="1456" spans="1:19" x14ac:dyDescent="0.2">
      <c r="A1456" s="1402"/>
      <c r="B1456" s="1405"/>
      <c r="C1456" s="1407"/>
      <c r="D1456" s="1405"/>
      <c r="E1456" s="1405"/>
      <c r="F1456" s="1405"/>
      <c r="G1456" s="1405"/>
      <c r="H1456" s="1405"/>
      <c r="I1456" s="1405"/>
      <c r="J1456" s="1405"/>
      <c r="K1456" s="1405"/>
      <c r="L1456" s="1405"/>
      <c r="M1456" s="1405"/>
      <c r="S1456" s="1731"/>
    </row>
    <row r="1457" spans="1:19" x14ac:dyDescent="0.2">
      <c r="A1457" s="1402"/>
      <c r="B1457" s="1405"/>
      <c r="C1457" s="1407"/>
      <c r="D1457" s="1405"/>
      <c r="E1457" s="1405"/>
      <c r="F1457" s="1405"/>
      <c r="G1457" s="1405"/>
      <c r="H1457" s="1405"/>
      <c r="I1457" s="1405"/>
      <c r="J1457" s="1405"/>
      <c r="K1457" s="1405"/>
      <c r="L1457" s="1405"/>
      <c r="M1457" s="1405"/>
      <c r="S1457" s="1731"/>
    </row>
    <row r="1458" spans="1:19" x14ac:dyDescent="0.2">
      <c r="A1458" s="1402"/>
      <c r="B1458" s="1405"/>
      <c r="C1458" s="1407"/>
      <c r="D1458" s="1405"/>
      <c r="E1458" s="1405"/>
      <c r="F1458" s="1405"/>
      <c r="G1458" s="1405"/>
      <c r="H1458" s="1405"/>
      <c r="I1458" s="1405"/>
      <c r="J1458" s="1405"/>
      <c r="K1458" s="1405"/>
      <c r="L1458" s="1405"/>
      <c r="M1458" s="1405"/>
      <c r="S1458" s="1731"/>
    </row>
    <row r="1459" spans="1:19" x14ac:dyDescent="0.2">
      <c r="A1459" s="1402"/>
      <c r="B1459" s="1405"/>
      <c r="C1459" s="1407"/>
      <c r="D1459" s="1405"/>
      <c r="E1459" s="1405"/>
      <c r="F1459" s="1405"/>
      <c r="G1459" s="1405"/>
      <c r="H1459" s="1405"/>
      <c r="I1459" s="1405"/>
      <c r="J1459" s="1405"/>
      <c r="K1459" s="1405"/>
      <c r="L1459" s="1405"/>
      <c r="M1459" s="1405"/>
      <c r="S1459" s="1731"/>
    </row>
    <row r="1460" spans="1:19" x14ac:dyDescent="0.2">
      <c r="A1460" s="1402"/>
      <c r="B1460" s="1405"/>
      <c r="C1460" s="1407"/>
      <c r="D1460" s="1405"/>
      <c r="E1460" s="1405"/>
      <c r="F1460" s="1405"/>
      <c r="G1460" s="1405"/>
      <c r="H1460" s="1405"/>
      <c r="I1460" s="1405"/>
      <c r="J1460" s="1405"/>
      <c r="K1460" s="1405"/>
      <c r="L1460" s="1405"/>
      <c r="M1460" s="1405"/>
      <c r="S1460" s="1731"/>
    </row>
    <row r="1461" spans="1:19" x14ac:dyDescent="0.2">
      <c r="A1461" s="1402"/>
      <c r="B1461" s="1405"/>
      <c r="C1461" s="1407"/>
      <c r="D1461" s="1405"/>
      <c r="E1461" s="1405"/>
      <c r="F1461" s="1405"/>
      <c r="G1461" s="1405"/>
      <c r="H1461" s="1405"/>
      <c r="I1461" s="1405"/>
      <c r="J1461" s="1405"/>
      <c r="K1461" s="1405"/>
      <c r="L1461" s="1405"/>
      <c r="M1461" s="1405"/>
      <c r="S1461" s="1731"/>
    </row>
    <row r="1462" spans="1:19" x14ac:dyDescent="0.2">
      <c r="A1462" s="1402"/>
      <c r="B1462" s="1405"/>
      <c r="C1462" s="1407"/>
      <c r="D1462" s="1405"/>
      <c r="E1462" s="1405"/>
      <c r="F1462" s="1405"/>
      <c r="G1462" s="1405"/>
      <c r="H1462" s="1405"/>
      <c r="I1462" s="1405"/>
      <c r="J1462" s="1405"/>
      <c r="K1462" s="1405"/>
      <c r="L1462" s="1405"/>
      <c r="M1462" s="1405"/>
      <c r="S1462" s="1731"/>
    </row>
    <row r="1463" spans="1:19" x14ac:dyDescent="0.2">
      <c r="A1463" s="1402"/>
      <c r="B1463" s="1405"/>
      <c r="C1463" s="1407"/>
      <c r="D1463" s="1405"/>
      <c r="E1463" s="1405"/>
      <c r="F1463" s="1405"/>
      <c r="G1463" s="1405"/>
      <c r="H1463" s="1405"/>
      <c r="I1463" s="1405"/>
      <c r="J1463" s="1405"/>
      <c r="K1463" s="1405"/>
      <c r="L1463" s="1405"/>
      <c r="M1463" s="1405"/>
      <c r="S1463" s="1731"/>
    </row>
    <row r="1464" spans="1:19" x14ac:dyDescent="0.2">
      <c r="A1464" s="1402"/>
      <c r="B1464" s="1405"/>
      <c r="C1464" s="1407"/>
      <c r="D1464" s="1405"/>
      <c r="E1464" s="1405"/>
      <c r="F1464" s="1405"/>
      <c r="G1464" s="1405"/>
      <c r="H1464" s="1405"/>
      <c r="I1464" s="1405"/>
      <c r="J1464" s="1405"/>
      <c r="K1464" s="1405"/>
      <c r="L1464" s="1405"/>
      <c r="M1464" s="1405"/>
      <c r="S1464" s="1731"/>
    </row>
    <row r="1465" spans="1:19" x14ac:dyDescent="0.2">
      <c r="A1465" s="1402"/>
      <c r="B1465" s="1405"/>
      <c r="C1465" s="1407"/>
      <c r="D1465" s="1405"/>
      <c r="E1465" s="1405"/>
      <c r="F1465" s="1405"/>
      <c r="G1465" s="1405"/>
      <c r="H1465" s="1405"/>
      <c r="I1465" s="1405"/>
      <c r="J1465" s="1405"/>
      <c r="K1465" s="1405"/>
      <c r="L1465" s="1405"/>
      <c r="M1465" s="1405"/>
      <c r="S1465" s="1731"/>
    </row>
    <row r="1466" spans="1:19" x14ac:dyDescent="0.2">
      <c r="A1466" s="1402"/>
      <c r="B1466" s="1405"/>
      <c r="C1466" s="1407"/>
      <c r="D1466" s="1405"/>
      <c r="E1466" s="1405"/>
      <c r="F1466" s="1405"/>
      <c r="G1466" s="1405"/>
      <c r="H1466" s="1405"/>
      <c r="I1466" s="1405"/>
      <c r="J1466" s="1405"/>
      <c r="K1466" s="1405"/>
      <c r="L1466" s="1405"/>
      <c r="M1466" s="1405"/>
      <c r="S1466" s="1731"/>
    </row>
    <row r="1467" spans="1:19" x14ac:dyDescent="0.2">
      <c r="A1467" s="1402"/>
      <c r="B1467" s="1405"/>
      <c r="C1467" s="1407"/>
      <c r="D1467" s="1405"/>
      <c r="E1467" s="1405"/>
      <c r="F1467" s="1405"/>
      <c r="G1467" s="1405"/>
      <c r="H1467" s="1405"/>
      <c r="I1467" s="1405"/>
      <c r="J1467" s="1405"/>
      <c r="K1467" s="1405"/>
      <c r="L1467" s="1405"/>
      <c r="M1467" s="1405"/>
      <c r="S1467" s="1731"/>
    </row>
    <row r="1468" spans="1:19" x14ac:dyDescent="0.2">
      <c r="A1468" s="1402"/>
      <c r="B1468" s="1405"/>
      <c r="C1468" s="1407"/>
      <c r="D1468" s="1405"/>
      <c r="E1468" s="1405"/>
      <c r="F1468" s="1405"/>
      <c r="G1468" s="1405"/>
      <c r="H1468" s="1405"/>
      <c r="I1468" s="1405"/>
      <c r="J1468" s="1405"/>
      <c r="K1468" s="1405"/>
      <c r="L1468" s="1405"/>
      <c r="M1468" s="1405"/>
      <c r="S1468" s="1731"/>
    </row>
    <row r="1469" spans="1:19" x14ac:dyDescent="0.2">
      <c r="A1469" s="1402"/>
      <c r="B1469" s="1405"/>
      <c r="C1469" s="1407"/>
      <c r="D1469" s="1405"/>
      <c r="E1469" s="1405"/>
      <c r="F1469" s="1405"/>
      <c r="G1469" s="1405"/>
      <c r="H1469" s="1405"/>
      <c r="I1469" s="1405"/>
      <c r="J1469" s="1405"/>
      <c r="K1469" s="1405"/>
      <c r="L1469" s="1405"/>
      <c r="M1469" s="1405"/>
      <c r="S1469" s="1731"/>
    </row>
    <row r="1470" spans="1:19" x14ac:dyDescent="0.2">
      <c r="A1470" s="1402"/>
      <c r="B1470" s="1405"/>
      <c r="C1470" s="1407"/>
      <c r="D1470" s="1405"/>
      <c r="E1470" s="1405"/>
      <c r="F1470" s="1405"/>
      <c r="G1470" s="1405"/>
      <c r="H1470" s="1405"/>
      <c r="I1470" s="1405"/>
      <c r="J1470" s="1405"/>
      <c r="K1470" s="1405"/>
      <c r="L1470" s="1405"/>
      <c r="M1470" s="1405"/>
      <c r="S1470" s="1731"/>
    </row>
    <row r="1471" spans="1:19" x14ac:dyDescent="0.2">
      <c r="A1471" s="1402"/>
      <c r="B1471" s="1405"/>
      <c r="C1471" s="1407"/>
      <c r="D1471" s="1405"/>
      <c r="E1471" s="1405"/>
      <c r="F1471" s="1405"/>
      <c r="G1471" s="1405"/>
      <c r="H1471" s="1405"/>
      <c r="I1471" s="1405"/>
      <c r="J1471" s="1405"/>
      <c r="K1471" s="1405"/>
      <c r="L1471" s="1405"/>
      <c r="M1471" s="1405"/>
      <c r="S1471" s="1731"/>
    </row>
    <row r="1472" spans="1:19" x14ac:dyDescent="0.2">
      <c r="A1472" s="1402"/>
      <c r="B1472" s="1405"/>
      <c r="C1472" s="1407"/>
      <c r="D1472" s="1405"/>
      <c r="E1472" s="1405"/>
      <c r="F1472" s="1405"/>
      <c r="G1472" s="1405"/>
      <c r="H1472" s="1405"/>
      <c r="I1472" s="1405"/>
      <c r="J1472" s="1405"/>
      <c r="K1472" s="1405"/>
      <c r="L1472" s="1405"/>
      <c r="M1472" s="1405"/>
      <c r="S1472" s="1731"/>
    </row>
    <row r="1473" spans="1:19" x14ac:dyDescent="0.2">
      <c r="A1473" s="1402"/>
      <c r="B1473" s="1405"/>
      <c r="C1473" s="1407"/>
      <c r="D1473" s="1405"/>
      <c r="E1473" s="1405"/>
      <c r="F1473" s="1405"/>
      <c r="G1473" s="1405"/>
      <c r="H1473" s="1405"/>
      <c r="I1473" s="1405"/>
      <c r="J1473" s="1405"/>
      <c r="K1473" s="1405"/>
      <c r="L1473" s="1405"/>
      <c r="M1473" s="1405"/>
      <c r="S1473" s="1731"/>
    </row>
    <row r="1474" spans="1:19" x14ac:dyDescent="0.2">
      <c r="A1474" s="1402"/>
      <c r="B1474" s="1405"/>
      <c r="C1474" s="1407"/>
      <c r="D1474" s="1405"/>
      <c r="E1474" s="1405"/>
      <c r="F1474" s="1405"/>
      <c r="G1474" s="1405"/>
      <c r="H1474" s="1405"/>
      <c r="I1474" s="1405"/>
      <c r="J1474" s="1405"/>
      <c r="K1474" s="1405"/>
      <c r="L1474" s="1405"/>
      <c r="M1474" s="1405"/>
      <c r="S1474" s="1731"/>
    </row>
    <row r="1475" spans="1:19" x14ac:dyDescent="0.2">
      <c r="A1475" s="1402"/>
      <c r="B1475" s="1405"/>
      <c r="C1475" s="1407"/>
      <c r="D1475" s="1405"/>
      <c r="E1475" s="1405"/>
      <c r="F1475" s="1405"/>
      <c r="G1475" s="1405"/>
      <c r="H1475" s="1405"/>
      <c r="I1475" s="1405"/>
      <c r="J1475" s="1405"/>
      <c r="K1475" s="1405"/>
      <c r="L1475" s="1405"/>
      <c r="M1475" s="1405"/>
      <c r="S1475" s="1731"/>
    </row>
    <row r="1476" spans="1:19" x14ac:dyDescent="0.2">
      <c r="A1476" s="1402"/>
      <c r="B1476" s="1405"/>
      <c r="C1476" s="1407"/>
      <c r="D1476" s="1405"/>
      <c r="E1476" s="1405"/>
      <c r="F1476" s="1405"/>
      <c r="G1476" s="1405"/>
      <c r="H1476" s="1405"/>
      <c r="I1476" s="1405"/>
      <c r="J1476" s="1405"/>
      <c r="K1476" s="1405"/>
      <c r="L1476" s="1405"/>
      <c r="M1476" s="1405"/>
      <c r="S1476" s="1731"/>
    </row>
    <row r="1477" spans="1:19" x14ac:dyDescent="0.2">
      <c r="A1477" s="1402"/>
      <c r="B1477" s="1405"/>
      <c r="C1477" s="1407"/>
      <c r="D1477" s="1405"/>
      <c r="E1477" s="1405"/>
      <c r="F1477" s="1405"/>
      <c r="G1477" s="1405"/>
      <c r="H1477" s="1405"/>
      <c r="I1477" s="1405"/>
      <c r="J1477" s="1405"/>
      <c r="K1477" s="1405"/>
      <c r="L1477" s="1405"/>
      <c r="M1477" s="1405"/>
      <c r="S1477" s="1731"/>
    </row>
    <row r="1478" spans="1:19" x14ac:dyDescent="0.2">
      <c r="A1478" s="1402"/>
      <c r="B1478" s="1405"/>
      <c r="C1478" s="1407"/>
      <c r="D1478" s="1405"/>
      <c r="E1478" s="1405"/>
      <c r="F1478" s="1405"/>
      <c r="G1478" s="1405"/>
      <c r="H1478" s="1405"/>
      <c r="I1478" s="1405"/>
      <c r="J1478" s="1405"/>
      <c r="K1478" s="1405"/>
      <c r="L1478" s="1405"/>
      <c r="M1478" s="1405"/>
      <c r="S1478" s="1731"/>
    </row>
    <row r="1479" spans="1:19" x14ac:dyDescent="0.2">
      <c r="A1479" s="1402"/>
      <c r="B1479" s="1405"/>
      <c r="C1479" s="1407"/>
      <c r="D1479" s="1405"/>
      <c r="E1479" s="1405"/>
      <c r="F1479" s="1405"/>
      <c r="G1479" s="1405"/>
      <c r="H1479" s="1405"/>
      <c r="I1479" s="1405"/>
      <c r="J1479" s="1405"/>
      <c r="K1479" s="1405"/>
      <c r="L1479" s="1405"/>
      <c r="M1479" s="1405"/>
      <c r="S1479" s="1731"/>
    </row>
    <row r="1480" spans="1:19" x14ac:dyDescent="0.2">
      <c r="A1480" s="1402"/>
      <c r="B1480" s="1405"/>
      <c r="C1480" s="1407"/>
      <c r="D1480" s="1405"/>
      <c r="E1480" s="1405"/>
      <c r="F1480" s="1405"/>
      <c r="G1480" s="1405"/>
      <c r="H1480" s="1405"/>
      <c r="I1480" s="1405"/>
      <c r="J1480" s="1405"/>
      <c r="K1480" s="1405"/>
      <c r="L1480" s="1405"/>
      <c r="M1480" s="1405"/>
      <c r="S1480" s="1731"/>
    </row>
    <row r="1481" spans="1:19" x14ac:dyDescent="0.2">
      <c r="A1481" s="1402"/>
      <c r="B1481" s="1405"/>
      <c r="C1481" s="1407"/>
      <c r="D1481" s="1405"/>
      <c r="E1481" s="1405"/>
      <c r="F1481" s="1405"/>
      <c r="G1481" s="1405"/>
      <c r="H1481" s="1405"/>
      <c r="I1481" s="1405"/>
      <c r="J1481" s="1405"/>
      <c r="K1481" s="1405"/>
      <c r="L1481" s="1405"/>
      <c r="M1481" s="1405"/>
      <c r="S1481" s="1731"/>
    </row>
    <row r="1482" spans="1:19" x14ac:dyDescent="0.2">
      <c r="A1482" s="1402"/>
      <c r="B1482" s="1405"/>
      <c r="C1482" s="1407"/>
      <c r="D1482" s="1405"/>
      <c r="E1482" s="1405"/>
      <c r="F1482" s="1405"/>
      <c r="G1482" s="1405"/>
      <c r="H1482" s="1405"/>
      <c r="I1482" s="1405"/>
      <c r="J1482" s="1405"/>
      <c r="K1482" s="1405"/>
      <c r="L1482" s="1405"/>
      <c r="M1482" s="1405"/>
      <c r="S1482" s="1731"/>
    </row>
    <row r="1483" spans="1:19" x14ac:dyDescent="0.2">
      <c r="A1483" s="1402"/>
      <c r="B1483" s="1405"/>
      <c r="C1483" s="1407"/>
      <c r="D1483" s="1405"/>
      <c r="E1483" s="1405"/>
      <c r="F1483" s="1405"/>
      <c r="G1483" s="1405"/>
      <c r="H1483" s="1405"/>
      <c r="I1483" s="1405"/>
      <c r="J1483" s="1405"/>
      <c r="K1483" s="1405"/>
      <c r="L1483" s="1405"/>
      <c r="M1483" s="1405"/>
      <c r="S1483" s="1731"/>
    </row>
    <row r="1484" spans="1:19" x14ac:dyDescent="0.2">
      <c r="A1484" s="1402"/>
      <c r="B1484" s="1405"/>
      <c r="C1484" s="1407"/>
      <c r="D1484" s="1405"/>
      <c r="E1484" s="1405"/>
      <c r="F1484" s="1405"/>
      <c r="G1484" s="1405"/>
      <c r="H1484" s="1405"/>
      <c r="I1484" s="1405"/>
      <c r="J1484" s="1405"/>
      <c r="K1484" s="1405"/>
      <c r="L1484" s="1405"/>
      <c r="M1484" s="1405"/>
      <c r="S1484" s="1731"/>
    </row>
    <row r="1485" spans="1:19" x14ac:dyDescent="0.2">
      <c r="A1485" s="1402"/>
      <c r="B1485" s="1405"/>
      <c r="C1485" s="1407"/>
      <c r="D1485" s="1405"/>
      <c r="E1485" s="1405"/>
      <c r="F1485" s="1405"/>
      <c r="G1485" s="1405"/>
      <c r="H1485" s="1405"/>
      <c r="I1485" s="1405"/>
      <c r="J1485" s="1405"/>
      <c r="K1485" s="1405"/>
      <c r="L1485" s="1405"/>
      <c r="M1485" s="1405"/>
      <c r="S1485" s="1731"/>
    </row>
    <row r="1486" spans="1:19" x14ac:dyDescent="0.2">
      <c r="A1486" s="1402"/>
      <c r="B1486" s="1405"/>
      <c r="C1486" s="1407"/>
      <c r="D1486" s="1405"/>
      <c r="E1486" s="1405"/>
      <c r="F1486" s="1405"/>
      <c r="G1486" s="1405"/>
      <c r="H1486" s="1405"/>
      <c r="I1486" s="1405"/>
      <c r="J1486" s="1405"/>
      <c r="K1486" s="1405"/>
      <c r="L1486" s="1405"/>
      <c r="M1486" s="1405"/>
      <c r="S1486" s="1731"/>
    </row>
    <row r="1487" spans="1:19" x14ac:dyDescent="0.2">
      <c r="A1487" s="1402"/>
      <c r="B1487" s="1405"/>
      <c r="C1487" s="1407"/>
      <c r="D1487" s="1405"/>
      <c r="E1487" s="1405"/>
      <c r="F1487" s="1405"/>
      <c r="G1487" s="1405"/>
      <c r="H1487" s="1405"/>
      <c r="I1487" s="1405"/>
      <c r="J1487" s="1405"/>
      <c r="K1487" s="1405"/>
      <c r="L1487" s="1405"/>
      <c r="M1487" s="1405"/>
      <c r="S1487" s="1731"/>
    </row>
    <row r="1488" spans="1:19" x14ac:dyDescent="0.2">
      <c r="A1488" s="1402"/>
      <c r="B1488" s="1405"/>
      <c r="C1488" s="1407"/>
      <c r="D1488" s="1405"/>
      <c r="E1488" s="1405"/>
      <c r="F1488" s="1405"/>
      <c r="G1488" s="1405"/>
      <c r="H1488" s="1405"/>
      <c r="I1488" s="1405"/>
      <c r="J1488" s="1405"/>
      <c r="K1488" s="1405"/>
      <c r="L1488" s="1405"/>
      <c r="M1488" s="1405"/>
      <c r="S1488" s="1731"/>
    </row>
    <row r="1489" spans="1:19" x14ac:dyDescent="0.2">
      <c r="A1489" s="1402"/>
      <c r="B1489" s="1405"/>
      <c r="C1489" s="1407"/>
      <c r="D1489" s="1405"/>
      <c r="E1489" s="1405"/>
      <c r="F1489" s="1405"/>
      <c r="G1489" s="1405"/>
      <c r="H1489" s="1405"/>
      <c r="I1489" s="1405"/>
      <c r="J1489" s="1405"/>
      <c r="K1489" s="1405"/>
      <c r="L1489" s="1405"/>
      <c r="M1489" s="1405"/>
      <c r="S1489" s="1731"/>
    </row>
    <row r="1490" spans="1:19" x14ac:dyDescent="0.2">
      <c r="A1490" s="1402"/>
      <c r="B1490" s="1405"/>
      <c r="C1490" s="1407"/>
      <c r="D1490" s="1405"/>
      <c r="E1490" s="1405"/>
      <c r="F1490" s="1405"/>
      <c r="G1490" s="1405"/>
      <c r="H1490" s="1405"/>
      <c r="I1490" s="1405"/>
      <c r="J1490" s="1405"/>
      <c r="K1490" s="1405"/>
      <c r="L1490" s="1405"/>
      <c r="M1490" s="1405"/>
      <c r="S1490" s="1731"/>
    </row>
    <row r="1491" spans="1:19" x14ac:dyDescent="0.2">
      <c r="A1491" s="1402"/>
      <c r="B1491" s="1405"/>
      <c r="C1491" s="1407"/>
      <c r="D1491" s="1405"/>
      <c r="E1491" s="1405"/>
      <c r="F1491" s="1405"/>
      <c r="G1491" s="1405"/>
      <c r="H1491" s="1405"/>
      <c r="I1491" s="1405"/>
      <c r="J1491" s="1405"/>
      <c r="K1491" s="1405"/>
      <c r="L1491" s="1405"/>
      <c r="M1491" s="1405"/>
      <c r="S1491" s="1731"/>
    </row>
    <row r="1492" spans="1:19" x14ac:dyDescent="0.2">
      <c r="A1492" s="1402"/>
      <c r="B1492" s="1405"/>
      <c r="C1492" s="1407"/>
      <c r="D1492" s="1405"/>
      <c r="E1492" s="1405"/>
      <c r="F1492" s="1405"/>
      <c r="G1492" s="1405"/>
      <c r="H1492" s="1405"/>
      <c r="I1492" s="1405"/>
      <c r="J1492" s="1405"/>
      <c r="K1492" s="1405"/>
      <c r="L1492" s="1405"/>
      <c r="M1492" s="1405"/>
      <c r="S1492" s="1731"/>
    </row>
    <row r="1493" spans="1:19" x14ac:dyDescent="0.2">
      <c r="A1493" s="1402"/>
      <c r="B1493" s="1405"/>
      <c r="C1493" s="1407"/>
      <c r="D1493" s="1405"/>
      <c r="E1493" s="1405"/>
      <c r="F1493" s="1405"/>
      <c r="G1493" s="1405"/>
      <c r="H1493" s="1405"/>
      <c r="I1493" s="1405"/>
      <c r="J1493" s="1405"/>
      <c r="K1493" s="1405"/>
      <c r="L1493" s="1405"/>
      <c r="M1493" s="1405"/>
      <c r="S1493" s="1731"/>
    </row>
    <row r="1494" spans="1:19" x14ac:dyDescent="0.2">
      <c r="A1494" s="1402"/>
      <c r="B1494" s="1405"/>
      <c r="C1494" s="1407"/>
      <c r="D1494" s="1405"/>
      <c r="E1494" s="1405"/>
      <c r="F1494" s="1405"/>
      <c r="G1494" s="1405"/>
      <c r="H1494" s="1405"/>
      <c r="I1494" s="1405"/>
      <c r="J1494" s="1405"/>
      <c r="K1494" s="1405"/>
      <c r="L1494" s="1405"/>
      <c r="M1494" s="1405"/>
      <c r="S1494" s="1731"/>
    </row>
    <row r="1495" spans="1:19" x14ac:dyDescent="0.2">
      <c r="A1495" s="1402"/>
      <c r="B1495" s="1405"/>
      <c r="C1495" s="1407"/>
      <c r="D1495" s="1405"/>
      <c r="E1495" s="1405"/>
      <c r="F1495" s="1405"/>
      <c r="G1495" s="1405"/>
      <c r="H1495" s="1405"/>
      <c r="I1495" s="1405"/>
      <c r="J1495" s="1405"/>
      <c r="K1495" s="1405"/>
      <c r="L1495" s="1405"/>
      <c r="M1495" s="1405"/>
      <c r="S1495" s="1731"/>
    </row>
    <row r="1496" spans="1:19" x14ac:dyDescent="0.2">
      <c r="A1496" s="1402"/>
      <c r="B1496" s="1405"/>
      <c r="C1496" s="1407"/>
      <c r="D1496" s="1405"/>
      <c r="E1496" s="1405"/>
      <c r="F1496" s="1405"/>
      <c r="G1496" s="1405"/>
      <c r="H1496" s="1405"/>
      <c r="I1496" s="1405"/>
      <c r="J1496" s="1405"/>
      <c r="K1496" s="1405"/>
      <c r="L1496" s="1405"/>
      <c r="M1496" s="1405"/>
      <c r="S1496" s="1731"/>
    </row>
    <row r="1497" spans="1:19" x14ac:dyDescent="0.2">
      <c r="A1497" s="1402"/>
      <c r="B1497" s="1405"/>
      <c r="C1497" s="1407"/>
      <c r="D1497" s="1405"/>
      <c r="E1497" s="1405"/>
      <c r="F1497" s="1405"/>
      <c r="G1497" s="1405"/>
      <c r="H1497" s="1405"/>
      <c r="I1497" s="1405"/>
      <c r="J1497" s="1405"/>
      <c r="K1497" s="1405"/>
      <c r="L1497" s="1405"/>
      <c r="M1497" s="1405"/>
      <c r="S1497" s="1731"/>
    </row>
    <row r="1498" spans="1:19" x14ac:dyDescent="0.2">
      <c r="A1498" s="1402"/>
      <c r="B1498" s="1405"/>
      <c r="C1498" s="1407"/>
      <c r="D1498" s="1405"/>
      <c r="E1498" s="1405"/>
      <c r="F1498" s="1405"/>
      <c r="G1498" s="1405"/>
      <c r="H1498" s="1405"/>
      <c r="I1498" s="1405"/>
      <c r="J1498" s="1405"/>
      <c r="K1498" s="1405"/>
      <c r="L1498" s="1405"/>
      <c r="M1498" s="1405"/>
      <c r="S1498" s="1731"/>
    </row>
    <row r="1499" spans="1:19" x14ac:dyDescent="0.2">
      <c r="A1499" s="1402"/>
      <c r="B1499" s="1405"/>
      <c r="C1499" s="1407"/>
      <c r="D1499" s="1405"/>
      <c r="E1499" s="1405"/>
      <c r="F1499" s="1405"/>
      <c r="G1499" s="1405"/>
      <c r="H1499" s="1405"/>
      <c r="I1499" s="1405"/>
      <c r="J1499" s="1405"/>
      <c r="K1499" s="1405"/>
      <c r="L1499" s="1405"/>
      <c r="M1499" s="1405"/>
      <c r="S1499" s="1731"/>
    </row>
    <row r="1500" spans="1:19" x14ac:dyDescent="0.2">
      <c r="A1500" s="1402"/>
      <c r="B1500" s="1405"/>
      <c r="C1500" s="1407"/>
      <c r="D1500" s="1405"/>
      <c r="E1500" s="1405"/>
      <c r="F1500" s="1405"/>
      <c r="G1500" s="1405"/>
      <c r="H1500" s="1405"/>
      <c r="I1500" s="1405"/>
      <c r="J1500" s="1405"/>
      <c r="K1500" s="1405"/>
      <c r="L1500" s="1405"/>
      <c r="M1500" s="1405"/>
      <c r="S1500" s="1731"/>
    </row>
    <row r="1501" spans="1:19" x14ac:dyDescent="0.2">
      <c r="A1501" s="1402"/>
      <c r="B1501" s="1405"/>
      <c r="C1501" s="1407"/>
      <c r="D1501" s="1405"/>
      <c r="E1501" s="1405"/>
      <c r="F1501" s="1405"/>
      <c r="G1501" s="1405"/>
      <c r="H1501" s="1405"/>
      <c r="I1501" s="1405"/>
      <c r="J1501" s="1405"/>
      <c r="K1501" s="1405"/>
      <c r="L1501" s="1405"/>
      <c r="M1501" s="1405"/>
      <c r="S1501" s="1731"/>
    </row>
    <row r="1502" spans="1:19" x14ac:dyDescent="0.2">
      <c r="A1502" s="1402"/>
      <c r="B1502" s="1405"/>
      <c r="C1502" s="1407"/>
      <c r="D1502" s="1405"/>
      <c r="E1502" s="1405"/>
      <c r="F1502" s="1405"/>
      <c r="G1502" s="1405"/>
      <c r="H1502" s="1405"/>
      <c r="I1502" s="1405"/>
      <c r="J1502" s="1405"/>
      <c r="K1502" s="1405"/>
      <c r="L1502" s="1405"/>
      <c r="M1502" s="1405"/>
      <c r="S1502" s="1731"/>
    </row>
    <row r="1503" spans="1:19" x14ac:dyDescent="0.2">
      <c r="A1503" s="1402"/>
      <c r="B1503" s="1405"/>
      <c r="C1503" s="1407"/>
      <c r="D1503" s="1405"/>
      <c r="E1503" s="1405"/>
      <c r="F1503" s="1405"/>
      <c r="G1503" s="1405"/>
      <c r="H1503" s="1405"/>
      <c r="I1503" s="1405"/>
      <c r="J1503" s="1405"/>
      <c r="K1503" s="1405"/>
      <c r="L1503" s="1405"/>
      <c r="M1503" s="1405"/>
      <c r="S1503" s="1731"/>
    </row>
    <row r="1504" spans="1:19" x14ac:dyDescent="0.2">
      <c r="A1504" s="1402"/>
      <c r="B1504" s="1405"/>
      <c r="C1504" s="1407"/>
      <c r="D1504" s="1405"/>
      <c r="E1504" s="1405"/>
      <c r="F1504" s="1405"/>
      <c r="G1504" s="1405"/>
      <c r="H1504" s="1405"/>
      <c r="I1504" s="1405"/>
      <c r="J1504" s="1405"/>
      <c r="K1504" s="1405"/>
      <c r="L1504" s="1405"/>
      <c r="M1504" s="1405"/>
      <c r="S1504" s="1731"/>
    </row>
    <row r="1505" spans="1:19" x14ac:dyDescent="0.2">
      <c r="A1505" s="1402"/>
      <c r="B1505" s="1405"/>
      <c r="C1505" s="1407"/>
      <c r="D1505" s="1405"/>
      <c r="E1505" s="1405"/>
      <c r="F1505" s="1405"/>
      <c r="G1505" s="1405"/>
      <c r="H1505" s="1405"/>
      <c r="I1505" s="1405"/>
      <c r="J1505" s="1405"/>
      <c r="K1505" s="1405"/>
      <c r="L1505" s="1405"/>
      <c r="M1505" s="1405"/>
      <c r="S1505" s="1731"/>
    </row>
    <row r="1506" spans="1:19" x14ac:dyDescent="0.2">
      <c r="A1506" s="1402"/>
      <c r="B1506" s="1405"/>
      <c r="C1506" s="1407"/>
      <c r="D1506" s="1405"/>
      <c r="E1506" s="1405"/>
      <c r="F1506" s="1405"/>
      <c r="G1506" s="1405"/>
      <c r="H1506" s="1405"/>
      <c r="I1506" s="1405"/>
      <c r="J1506" s="1405"/>
      <c r="K1506" s="1405"/>
      <c r="L1506" s="1405"/>
      <c r="M1506" s="1405"/>
      <c r="S1506" s="1731"/>
    </row>
    <row r="1507" spans="1:19" x14ac:dyDescent="0.2">
      <c r="A1507" s="1402"/>
      <c r="B1507" s="1405"/>
      <c r="C1507" s="1407"/>
      <c r="D1507" s="1405"/>
      <c r="E1507" s="1405"/>
      <c r="F1507" s="1405"/>
      <c r="G1507" s="1405"/>
      <c r="H1507" s="1405"/>
      <c r="I1507" s="1405"/>
      <c r="J1507" s="1405"/>
      <c r="K1507" s="1405"/>
      <c r="L1507" s="1405"/>
      <c r="M1507" s="1405"/>
      <c r="S1507" s="1731"/>
    </row>
    <row r="1508" spans="1:19" x14ac:dyDescent="0.2">
      <c r="A1508" s="1402"/>
      <c r="B1508" s="1405"/>
      <c r="C1508" s="1407"/>
      <c r="D1508" s="1405"/>
      <c r="E1508" s="1405"/>
      <c r="F1508" s="1405"/>
      <c r="G1508" s="1405"/>
      <c r="H1508" s="1405"/>
      <c r="I1508" s="1405"/>
      <c r="J1508" s="1405"/>
      <c r="K1508" s="1405"/>
      <c r="L1508" s="1405"/>
      <c r="M1508" s="1405"/>
      <c r="S1508" s="1731"/>
    </row>
    <row r="1509" spans="1:19" x14ac:dyDescent="0.2">
      <c r="A1509" s="1402"/>
      <c r="B1509" s="1405"/>
      <c r="C1509" s="1407"/>
      <c r="D1509" s="1405"/>
      <c r="E1509" s="1405"/>
      <c r="F1509" s="1405"/>
      <c r="G1509" s="1405"/>
      <c r="H1509" s="1405"/>
      <c r="I1509" s="1405"/>
      <c r="J1509" s="1405"/>
      <c r="K1509" s="1405"/>
      <c r="L1509" s="1405"/>
      <c r="M1509" s="1405"/>
      <c r="S1509" s="1731"/>
    </row>
    <row r="1510" spans="1:19" x14ac:dyDescent="0.2">
      <c r="A1510" s="1402"/>
      <c r="B1510" s="1405"/>
      <c r="C1510" s="1407"/>
      <c r="D1510" s="1405"/>
      <c r="E1510" s="1405"/>
      <c r="F1510" s="1405"/>
      <c r="G1510" s="1405"/>
      <c r="H1510" s="1405"/>
      <c r="I1510" s="1405"/>
      <c r="J1510" s="1405"/>
      <c r="K1510" s="1405"/>
      <c r="L1510" s="1405"/>
      <c r="M1510" s="1405"/>
      <c r="S1510" s="1731"/>
    </row>
    <row r="1511" spans="1:19" x14ac:dyDescent="0.2">
      <c r="A1511" s="1402"/>
      <c r="B1511" s="1405"/>
      <c r="C1511" s="1407"/>
      <c r="D1511" s="1405"/>
      <c r="E1511" s="1405"/>
      <c r="F1511" s="1405"/>
      <c r="G1511" s="1405"/>
      <c r="H1511" s="1405"/>
      <c r="I1511" s="1405"/>
      <c r="J1511" s="1405"/>
      <c r="K1511" s="1405"/>
      <c r="L1511" s="1405"/>
      <c r="M1511" s="1405"/>
      <c r="S1511" s="1731"/>
    </row>
    <row r="1512" spans="1:19" x14ac:dyDescent="0.2">
      <c r="A1512" s="1402"/>
      <c r="B1512" s="1405"/>
      <c r="C1512" s="1407"/>
      <c r="D1512" s="1405"/>
      <c r="E1512" s="1405"/>
      <c r="F1512" s="1405"/>
      <c r="G1512" s="1405"/>
      <c r="H1512" s="1405"/>
      <c r="I1512" s="1405"/>
      <c r="J1512" s="1405"/>
      <c r="K1512" s="1405"/>
      <c r="L1512" s="1405"/>
      <c r="M1512" s="1405"/>
      <c r="S1512" s="1731"/>
    </row>
    <row r="1513" spans="1:19" x14ac:dyDescent="0.2">
      <c r="A1513" s="1402"/>
      <c r="B1513" s="1405"/>
      <c r="C1513" s="1407"/>
      <c r="D1513" s="1405"/>
      <c r="E1513" s="1405"/>
      <c r="F1513" s="1405"/>
      <c r="G1513" s="1405"/>
      <c r="H1513" s="1405"/>
      <c r="I1513" s="1405"/>
      <c r="J1513" s="1405"/>
      <c r="K1513" s="1405"/>
      <c r="L1513" s="1405"/>
      <c r="M1513" s="1405"/>
      <c r="S1513" s="1731"/>
    </row>
    <row r="1514" spans="1:19" x14ac:dyDescent="0.2">
      <c r="A1514" s="1402"/>
      <c r="B1514" s="1405"/>
      <c r="C1514" s="1407"/>
      <c r="D1514" s="1405"/>
      <c r="E1514" s="1405"/>
      <c r="F1514" s="1405"/>
      <c r="G1514" s="1405"/>
      <c r="H1514" s="1405"/>
      <c r="I1514" s="1405"/>
      <c r="J1514" s="1405"/>
      <c r="K1514" s="1405"/>
      <c r="L1514" s="1405"/>
      <c r="M1514" s="1405"/>
      <c r="S1514" s="1731"/>
    </row>
    <row r="1515" spans="1:19" x14ac:dyDescent="0.2">
      <c r="A1515" s="1402"/>
      <c r="B1515" s="1405"/>
      <c r="C1515" s="1407"/>
      <c r="D1515" s="1405"/>
      <c r="E1515" s="1405"/>
      <c r="F1515" s="1405"/>
      <c r="G1515" s="1405"/>
      <c r="H1515" s="1405"/>
      <c r="I1515" s="1405"/>
      <c r="J1515" s="1405"/>
      <c r="K1515" s="1405"/>
      <c r="L1515" s="1405"/>
      <c r="M1515" s="1405"/>
      <c r="S1515" s="1731"/>
    </row>
    <row r="1516" spans="1:19" x14ac:dyDescent="0.2">
      <c r="A1516" s="1402"/>
      <c r="B1516" s="1405"/>
      <c r="C1516" s="1407"/>
      <c r="D1516" s="1405"/>
      <c r="E1516" s="1405"/>
      <c r="F1516" s="1405"/>
      <c r="G1516" s="1405"/>
      <c r="H1516" s="1405"/>
      <c r="I1516" s="1405"/>
      <c r="J1516" s="1405"/>
      <c r="K1516" s="1405"/>
      <c r="L1516" s="1405"/>
      <c r="M1516" s="1405"/>
      <c r="S1516" s="1731"/>
    </row>
    <row r="1517" spans="1:19" x14ac:dyDescent="0.2">
      <c r="A1517" s="1402"/>
      <c r="B1517" s="1405"/>
      <c r="C1517" s="1407"/>
      <c r="D1517" s="1405"/>
      <c r="E1517" s="1405"/>
      <c r="F1517" s="1405"/>
      <c r="G1517" s="1405"/>
      <c r="H1517" s="1405"/>
      <c r="I1517" s="1405"/>
      <c r="J1517" s="1405"/>
      <c r="K1517" s="1405"/>
      <c r="L1517" s="1405"/>
      <c r="M1517" s="1405"/>
      <c r="S1517" s="1731"/>
    </row>
    <row r="1518" spans="1:19" x14ac:dyDescent="0.2">
      <c r="A1518" s="1402"/>
      <c r="B1518" s="1405"/>
      <c r="C1518" s="1407"/>
      <c r="D1518" s="1405"/>
      <c r="E1518" s="1405"/>
      <c r="F1518" s="1405"/>
      <c r="G1518" s="1405"/>
      <c r="H1518" s="1405"/>
      <c r="I1518" s="1405"/>
      <c r="J1518" s="1405"/>
      <c r="K1518" s="1405"/>
      <c r="L1518" s="1405"/>
      <c r="M1518" s="1405"/>
      <c r="S1518" s="1731"/>
    </row>
    <row r="1519" spans="1:19" x14ac:dyDescent="0.2">
      <c r="A1519" s="1402"/>
      <c r="B1519" s="1405"/>
      <c r="C1519" s="1407"/>
      <c r="D1519" s="1405"/>
      <c r="E1519" s="1405"/>
      <c r="F1519" s="1405"/>
      <c r="G1519" s="1405"/>
      <c r="H1519" s="1405"/>
      <c r="I1519" s="1405"/>
      <c r="J1519" s="1405"/>
      <c r="K1519" s="1405"/>
      <c r="L1519" s="1405"/>
      <c r="M1519" s="1405"/>
      <c r="S1519" s="1731"/>
    </row>
    <row r="1520" spans="1:19" x14ac:dyDescent="0.2">
      <c r="A1520" s="1402"/>
      <c r="B1520" s="1405"/>
      <c r="C1520" s="1407"/>
      <c r="D1520" s="1405"/>
      <c r="E1520" s="1405"/>
      <c r="F1520" s="1405"/>
      <c r="G1520" s="1405"/>
      <c r="H1520" s="1405"/>
      <c r="I1520" s="1405"/>
      <c r="J1520" s="1405"/>
      <c r="K1520" s="1405"/>
      <c r="L1520" s="1405"/>
      <c r="M1520" s="1405"/>
      <c r="S1520" s="1731"/>
    </row>
    <row r="1521" spans="1:19" x14ac:dyDescent="0.2">
      <c r="A1521" s="1402"/>
      <c r="B1521" s="1405"/>
      <c r="C1521" s="1407"/>
      <c r="D1521" s="1405"/>
      <c r="E1521" s="1405"/>
      <c r="F1521" s="1405"/>
      <c r="G1521" s="1405"/>
      <c r="H1521" s="1405"/>
      <c r="I1521" s="1405"/>
      <c r="J1521" s="1405"/>
      <c r="K1521" s="1405"/>
      <c r="L1521" s="1405"/>
      <c r="M1521" s="1405"/>
      <c r="S1521" s="1731"/>
    </row>
    <row r="1522" spans="1:19" x14ac:dyDescent="0.2">
      <c r="A1522" s="1402"/>
      <c r="B1522" s="1405"/>
      <c r="C1522" s="1407"/>
      <c r="D1522" s="1405"/>
      <c r="E1522" s="1405"/>
      <c r="F1522" s="1405"/>
      <c r="G1522" s="1405"/>
      <c r="H1522" s="1405"/>
      <c r="I1522" s="1405"/>
      <c r="J1522" s="1405"/>
      <c r="K1522" s="1405"/>
      <c r="L1522" s="1405"/>
      <c r="M1522" s="1405"/>
      <c r="S1522" s="1731"/>
    </row>
    <row r="1523" spans="1:19" x14ac:dyDescent="0.2">
      <c r="A1523" s="1402"/>
      <c r="B1523" s="1405"/>
      <c r="C1523" s="1407"/>
      <c r="D1523" s="1405"/>
      <c r="E1523" s="1405"/>
      <c r="F1523" s="1405"/>
      <c r="G1523" s="1405"/>
      <c r="H1523" s="1405"/>
      <c r="I1523" s="1405"/>
      <c r="J1523" s="1405"/>
      <c r="K1523" s="1405"/>
      <c r="L1523" s="1405"/>
      <c r="M1523" s="1405"/>
      <c r="S1523" s="1731"/>
    </row>
    <row r="1524" spans="1:19" x14ac:dyDescent="0.2">
      <c r="A1524" s="1402"/>
      <c r="B1524" s="1405"/>
      <c r="C1524" s="1407"/>
      <c r="D1524" s="1405"/>
      <c r="E1524" s="1405"/>
      <c r="F1524" s="1405"/>
      <c r="G1524" s="1405"/>
      <c r="H1524" s="1405"/>
      <c r="I1524" s="1405"/>
      <c r="J1524" s="1405"/>
      <c r="K1524" s="1405"/>
      <c r="L1524" s="1405"/>
      <c r="M1524" s="1405"/>
      <c r="S1524" s="1731"/>
    </row>
    <row r="1525" spans="1:19" x14ac:dyDescent="0.2">
      <c r="A1525" s="1402"/>
      <c r="B1525" s="1405"/>
      <c r="C1525" s="1407"/>
      <c r="D1525" s="1405"/>
      <c r="E1525" s="1405"/>
      <c r="F1525" s="1405"/>
      <c r="G1525" s="1405"/>
      <c r="H1525" s="1405"/>
      <c r="I1525" s="1405"/>
      <c r="J1525" s="1405"/>
      <c r="K1525" s="1405"/>
      <c r="L1525" s="1405"/>
      <c r="M1525" s="1405"/>
      <c r="S1525" s="1731"/>
    </row>
    <row r="1526" spans="1:19" x14ac:dyDescent="0.2">
      <c r="A1526" s="1402"/>
      <c r="B1526" s="1405"/>
      <c r="C1526" s="1407"/>
      <c r="D1526" s="1405"/>
      <c r="E1526" s="1405"/>
      <c r="F1526" s="1405"/>
      <c r="G1526" s="1405"/>
      <c r="H1526" s="1405"/>
      <c r="I1526" s="1405"/>
      <c r="J1526" s="1405"/>
      <c r="K1526" s="1405"/>
      <c r="L1526" s="1405"/>
      <c r="M1526" s="1405"/>
      <c r="S1526" s="1731"/>
    </row>
    <row r="1527" spans="1:19" x14ac:dyDescent="0.2">
      <c r="A1527" s="1402"/>
      <c r="B1527" s="1405"/>
      <c r="C1527" s="1407"/>
      <c r="D1527" s="1405"/>
      <c r="E1527" s="1405"/>
      <c r="F1527" s="1405"/>
      <c r="G1527" s="1405"/>
      <c r="H1527" s="1405"/>
      <c r="I1527" s="1405"/>
      <c r="J1527" s="1405"/>
      <c r="K1527" s="1405"/>
      <c r="L1527" s="1405"/>
      <c r="M1527" s="1405"/>
      <c r="S1527" s="1731"/>
    </row>
    <row r="1528" spans="1:19" x14ac:dyDescent="0.2">
      <c r="A1528" s="1402"/>
      <c r="B1528" s="1405"/>
      <c r="C1528" s="1407"/>
      <c r="D1528" s="1405"/>
      <c r="E1528" s="1405"/>
      <c r="F1528" s="1405"/>
      <c r="G1528" s="1405"/>
      <c r="H1528" s="1405"/>
      <c r="I1528" s="1405"/>
      <c r="J1528" s="1405"/>
      <c r="K1528" s="1405"/>
      <c r="L1528" s="1405"/>
      <c r="M1528" s="1405"/>
      <c r="S1528" s="1731"/>
    </row>
    <row r="1529" spans="1:19" x14ac:dyDescent="0.2">
      <c r="A1529" s="1402"/>
      <c r="B1529" s="1405"/>
      <c r="C1529" s="1407"/>
      <c r="D1529" s="1405"/>
      <c r="E1529" s="1405"/>
      <c r="F1529" s="1405"/>
      <c r="G1529" s="1405"/>
      <c r="H1529" s="1405"/>
      <c r="I1529" s="1405"/>
      <c r="J1529" s="1405"/>
      <c r="K1529" s="1405"/>
      <c r="L1529" s="1405"/>
      <c r="M1529" s="1405"/>
      <c r="S1529" s="1731"/>
    </row>
    <row r="1530" spans="1:19" x14ac:dyDescent="0.2">
      <c r="A1530" s="1402"/>
      <c r="B1530" s="1405"/>
      <c r="C1530" s="1407"/>
      <c r="D1530" s="1405"/>
      <c r="E1530" s="1405"/>
      <c r="F1530" s="1405"/>
      <c r="G1530" s="1405"/>
      <c r="H1530" s="1405"/>
      <c r="I1530" s="1405"/>
      <c r="J1530" s="1405"/>
      <c r="K1530" s="1405"/>
      <c r="L1530" s="1405"/>
      <c r="M1530" s="1405"/>
      <c r="S1530" s="1731"/>
    </row>
    <row r="1531" spans="1:19" x14ac:dyDescent="0.2">
      <c r="A1531" s="1402"/>
      <c r="B1531" s="1405"/>
      <c r="C1531" s="1407"/>
      <c r="D1531" s="1405"/>
      <c r="E1531" s="1405"/>
      <c r="F1531" s="1405"/>
      <c r="G1531" s="1405"/>
      <c r="H1531" s="1405"/>
      <c r="I1531" s="1405"/>
      <c r="J1531" s="1405"/>
      <c r="K1531" s="1405"/>
      <c r="L1531" s="1405"/>
      <c r="M1531" s="1405"/>
      <c r="S1531" s="1731"/>
    </row>
    <row r="1532" spans="1:19" x14ac:dyDescent="0.2">
      <c r="A1532" s="1402"/>
      <c r="B1532" s="1405"/>
      <c r="C1532" s="1407"/>
      <c r="D1532" s="1405"/>
      <c r="E1532" s="1405"/>
      <c r="F1532" s="1405"/>
      <c r="G1532" s="1405"/>
      <c r="H1532" s="1405"/>
      <c r="I1532" s="1405"/>
      <c r="J1532" s="1405"/>
      <c r="K1532" s="1405"/>
      <c r="L1532" s="1405"/>
      <c r="M1532" s="1405"/>
      <c r="S1532" s="1731"/>
    </row>
    <row r="1533" spans="1:19" x14ac:dyDescent="0.2">
      <c r="A1533" s="1402"/>
      <c r="B1533" s="1405"/>
      <c r="C1533" s="1407"/>
      <c r="D1533" s="1405"/>
      <c r="E1533" s="1405"/>
      <c r="F1533" s="1405"/>
      <c r="G1533" s="1405"/>
      <c r="H1533" s="1405"/>
      <c r="I1533" s="1405"/>
      <c r="J1533" s="1405"/>
      <c r="K1533" s="1405"/>
      <c r="L1533" s="1405"/>
      <c r="M1533" s="1405"/>
      <c r="S1533" s="1731"/>
    </row>
    <row r="1534" spans="1:19" x14ac:dyDescent="0.2">
      <c r="A1534" s="1402"/>
      <c r="B1534" s="1405"/>
      <c r="C1534" s="1407"/>
      <c r="D1534" s="1405"/>
      <c r="E1534" s="1405"/>
      <c r="F1534" s="1405"/>
      <c r="G1534" s="1405"/>
      <c r="H1534" s="1405"/>
      <c r="I1534" s="1405"/>
      <c r="J1534" s="1405"/>
      <c r="K1534" s="1405"/>
      <c r="L1534" s="1405"/>
      <c r="M1534" s="1405"/>
      <c r="S1534" s="1731"/>
    </row>
    <row r="1535" spans="1:19" x14ac:dyDescent="0.2">
      <c r="A1535" s="1402"/>
      <c r="B1535" s="1405"/>
      <c r="C1535" s="1407"/>
      <c r="D1535" s="1405"/>
      <c r="E1535" s="1405"/>
      <c r="F1535" s="1405"/>
      <c r="G1535" s="1405"/>
      <c r="H1535" s="1405"/>
      <c r="I1535" s="1405"/>
      <c r="J1535" s="1405"/>
      <c r="K1535" s="1405"/>
      <c r="L1535" s="1405"/>
      <c r="M1535" s="1405"/>
      <c r="S1535" s="1731"/>
    </row>
    <row r="1536" spans="1:19" x14ac:dyDescent="0.2">
      <c r="A1536" s="1402"/>
      <c r="B1536" s="1405"/>
      <c r="C1536" s="1407"/>
      <c r="D1536" s="1405"/>
      <c r="E1536" s="1405"/>
      <c r="F1536" s="1405"/>
      <c r="G1536" s="1405"/>
      <c r="H1536" s="1405"/>
      <c r="I1536" s="1405"/>
      <c r="J1536" s="1405"/>
      <c r="K1536" s="1405"/>
      <c r="L1536" s="1405"/>
      <c r="M1536" s="1405"/>
      <c r="S1536" s="1731"/>
    </row>
    <row r="1537" spans="1:19" x14ac:dyDescent="0.2">
      <c r="A1537" s="1402"/>
      <c r="B1537" s="1405"/>
      <c r="C1537" s="1407"/>
      <c r="D1537" s="1405"/>
      <c r="E1537" s="1405"/>
      <c r="F1537" s="1405"/>
      <c r="G1537" s="1405"/>
      <c r="H1537" s="1405"/>
      <c r="I1537" s="1405"/>
      <c r="J1537" s="1405"/>
      <c r="K1537" s="1405"/>
      <c r="L1537" s="1405"/>
      <c r="M1537" s="1405"/>
      <c r="S1537" s="1731"/>
    </row>
    <row r="1538" spans="1:19" x14ac:dyDescent="0.2">
      <c r="A1538" s="1402"/>
      <c r="B1538" s="1405"/>
      <c r="C1538" s="1407"/>
      <c r="D1538" s="1405"/>
      <c r="E1538" s="1405"/>
      <c r="F1538" s="1405"/>
      <c r="G1538" s="1405"/>
      <c r="H1538" s="1405"/>
      <c r="I1538" s="1405"/>
      <c r="J1538" s="1405"/>
      <c r="K1538" s="1405"/>
      <c r="L1538" s="1405"/>
      <c r="M1538" s="1405"/>
      <c r="S1538" s="1731"/>
    </row>
    <row r="1539" spans="1:19" x14ac:dyDescent="0.2">
      <c r="A1539" s="1402"/>
      <c r="B1539" s="1405"/>
      <c r="C1539" s="1407"/>
      <c r="D1539" s="1405"/>
      <c r="E1539" s="1405"/>
      <c r="F1539" s="1405"/>
      <c r="G1539" s="1405"/>
      <c r="H1539" s="1405"/>
      <c r="I1539" s="1405"/>
      <c r="J1539" s="1405"/>
      <c r="K1539" s="1405"/>
      <c r="L1539" s="1405"/>
      <c r="M1539" s="1405"/>
      <c r="S1539" s="1731"/>
    </row>
    <row r="1540" spans="1:19" x14ac:dyDescent="0.2">
      <c r="A1540" s="1402"/>
      <c r="B1540" s="1405"/>
      <c r="C1540" s="1407"/>
      <c r="D1540" s="1405"/>
      <c r="E1540" s="1405"/>
      <c r="F1540" s="1405"/>
      <c r="G1540" s="1405"/>
      <c r="H1540" s="1405"/>
      <c r="I1540" s="1405"/>
      <c r="J1540" s="1405"/>
      <c r="K1540" s="1405"/>
      <c r="L1540" s="1405"/>
      <c r="M1540" s="1405"/>
      <c r="S1540" s="1731"/>
    </row>
    <row r="1541" spans="1:19" x14ac:dyDescent="0.2">
      <c r="A1541" s="1402"/>
      <c r="B1541" s="1405"/>
      <c r="C1541" s="1407"/>
      <c r="D1541" s="1405"/>
      <c r="E1541" s="1405"/>
      <c r="F1541" s="1405"/>
      <c r="G1541" s="1405"/>
      <c r="H1541" s="1405"/>
      <c r="I1541" s="1405"/>
      <c r="J1541" s="1405"/>
      <c r="K1541" s="1405"/>
      <c r="L1541" s="1405"/>
      <c r="M1541" s="1405"/>
      <c r="S1541" s="1731"/>
    </row>
    <row r="1542" spans="1:19" x14ac:dyDescent="0.2">
      <c r="A1542" s="1402"/>
      <c r="B1542" s="1405"/>
      <c r="C1542" s="1407"/>
      <c r="D1542" s="1405"/>
      <c r="E1542" s="1405"/>
      <c r="F1542" s="1405"/>
      <c r="G1542" s="1405"/>
      <c r="H1542" s="1405"/>
      <c r="I1542" s="1405"/>
      <c r="J1542" s="1405"/>
      <c r="K1542" s="1405"/>
      <c r="L1542" s="1405"/>
      <c r="M1542" s="1405"/>
      <c r="S1542" s="1731"/>
    </row>
    <row r="1543" spans="1:19" x14ac:dyDescent="0.2">
      <c r="A1543" s="1402"/>
      <c r="B1543" s="1405"/>
      <c r="C1543" s="1407"/>
      <c r="D1543" s="1405"/>
      <c r="E1543" s="1405"/>
      <c r="F1543" s="1405"/>
      <c r="G1543" s="1405"/>
      <c r="H1543" s="1405"/>
      <c r="I1543" s="1405"/>
      <c r="J1543" s="1405"/>
      <c r="K1543" s="1405"/>
      <c r="L1543" s="1405"/>
      <c r="M1543" s="1405"/>
      <c r="S1543" s="1731"/>
    </row>
    <row r="1544" spans="1:19" x14ac:dyDescent="0.2">
      <c r="A1544" s="1402"/>
      <c r="B1544" s="1405"/>
      <c r="C1544" s="1407"/>
      <c r="D1544" s="1405"/>
      <c r="E1544" s="1405"/>
      <c r="F1544" s="1405"/>
      <c r="G1544" s="1405"/>
      <c r="H1544" s="1405"/>
      <c r="I1544" s="1405"/>
      <c r="J1544" s="1405"/>
      <c r="K1544" s="1405"/>
      <c r="L1544" s="1405"/>
      <c r="M1544" s="1405"/>
      <c r="S1544" s="1731"/>
    </row>
    <row r="1545" spans="1:19" x14ac:dyDescent="0.2">
      <c r="A1545" s="1402"/>
      <c r="B1545" s="1405"/>
      <c r="C1545" s="1407"/>
      <c r="D1545" s="1405"/>
      <c r="E1545" s="1405"/>
      <c r="F1545" s="1405"/>
      <c r="G1545" s="1405"/>
      <c r="H1545" s="1405"/>
      <c r="I1545" s="1405"/>
      <c r="J1545" s="1405"/>
      <c r="K1545" s="1405"/>
      <c r="L1545" s="1405"/>
      <c r="M1545" s="1405"/>
      <c r="S1545" s="1731"/>
    </row>
    <row r="1546" spans="1:19" x14ac:dyDescent="0.2">
      <c r="A1546" s="1402"/>
      <c r="B1546" s="1405"/>
      <c r="C1546" s="1407"/>
      <c r="D1546" s="1405"/>
      <c r="E1546" s="1405"/>
      <c r="F1546" s="1405"/>
      <c r="G1546" s="1405"/>
      <c r="H1546" s="1405"/>
      <c r="I1546" s="1405"/>
      <c r="J1546" s="1405"/>
      <c r="K1546" s="1405"/>
      <c r="L1546" s="1405"/>
      <c r="M1546" s="1405"/>
      <c r="S1546" s="1731"/>
    </row>
    <row r="1547" spans="1:19" x14ac:dyDescent="0.2">
      <c r="A1547" s="1402"/>
      <c r="B1547" s="1405"/>
      <c r="C1547" s="1407"/>
      <c r="D1547" s="1405"/>
      <c r="E1547" s="1405"/>
      <c r="F1547" s="1405"/>
      <c r="G1547" s="1405"/>
      <c r="H1547" s="1405"/>
      <c r="I1547" s="1405"/>
      <c r="J1547" s="1405"/>
      <c r="K1547" s="1405"/>
      <c r="L1547" s="1405"/>
      <c r="M1547" s="1405"/>
      <c r="S1547" s="1731"/>
    </row>
    <row r="1548" spans="1:19" x14ac:dyDescent="0.2">
      <c r="A1548" s="1402"/>
      <c r="B1548" s="1405"/>
      <c r="C1548" s="1407"/>
      <c r="D1548" s="1405"/>
      <c r="E1548" s="1405"/>
      <c r="F1548" s="1405"/>
      <c r="G1548" s="1405"/>
      <c r="H1548" s="1405"/>
      <c r="I1548" s="1405"/>
      <c r="J1548" s="1405"/>
      <c r="K1548" s="1405"/>
      <c r="L1548" s="1405"/>
      <c r="M1548" s="1405"/>
      <c r="S1548" s="1731"/>
    </row>
    <row r="1549" spans="1:19" x14ac:dyDescent="0.2">
      <c r="A1549" s="1402"/>
      <c r="B1549" s="1405"/>
      <c r="C1549" s="1407"/>
      <c r="D1549" s="1405"/>
      <c r="E1549" s="1405"/>
      <c r="F1549" s="1405"/>
      <c r="G1549" s="1405"/>
      <c r="H1549" s="1405"/>
      <c r="I1549" s="1405"/>
      <c r="J1549" s="1405"/>
      <c r="K1549" s="1405"/>
      <c r="L1549" s="1405"/>
      <c r="M1549" s="1405"/>
      <c r="S1549" s="1731"/>
    </row>
    <row r="1550" spans="1:19" x14ac:dyDescent="0.2">
      <c r="A1550" s="1402"/>
      <c r="B1550" s="1405"/>
      <c r="C1550" s="1407"/>
      <c r="D1550" s="1405"/>
      <c r="E1550" s="1405"/>
      <c r="F1550" s="1405"/>
      <c r="G1550" s="1405"/>
      <c r="H1550" s="1405"/>
      <c r="I1550" s="1405"/>
      <c r="J1550" s="1405"/>
      <c r="K1550" s="1405"/>
      <c r="L1550" s="1405"/>
      <c r="M1550" s="1405"/>
      <c r="S1550" s="1731"/>
    </row>
    <row r="1551" spans="1:19" x14ac:dyDescent="0.2">
      <c r="A1551" s="1402"/>
      <c r="B1551" s="1405"/>
      <c r="C1551" s="1407"/>
      <c r="D1551" s="1405"/>
      <c r="E1551" s="1405"/>
      <c r="F1551" s="1405"/>
      <c r="G1551" s="1405"/>
      <c r="H1551" s="1405"/>
      <c r="I1551" s="1405"/>
      <c r="J1551" s="1405"/>
      <c r="K1551" s="1405"/>
      <c r="L1551" s="1405"/>
      <c r="M1551" s="1405"/>
      <c r="S1551" s="1731"/>
    </row>
    <row r="1552" spans="1:19" x14ac:dyDescent="0.2">
      <c r="A1552" s="1402"/>
      <c r="B1552" s="1405"/>
      <c r="C1552" s="1407"/>
      <c r="D1552" s="1405"/>
      <c r="E1552" s="1405"/>
      <c r="F1552" s="1405"/>
      <c r="G1552" s="1405"/>
      <c r="H1552" s="1405"/>
      <c r="I1552" s="1405"/>
      <c r="J1552" s="1405"/>
      <c r="K1552" s="1405"/>
      <c r="L1552" s="1405"/>
      <c r="M1552" s="1405"/>
      <c r="S1552" s="1731"/>
    </row>
    <row r="1553" spans="1:19" x14ac:dyDescent="0.2">
      <c r="A1553" s="1402"/>
      <c r="B1553" s="1405"/>
      <c r="C1553" s="1407"/>
      <c r="D1553" s="1405"/>
      <c r="E1553" s="1405"/>
      <c r="F1553" s="1405"/>
      <c r="G1553" s="1405"/>
      <c r="H1553" s="1405"/>
      <c r="I1553" s="1405"/>
      <c r="J1553" s="1405"/>
      <c r="K1553" s="1405"/>
      <c r="L1553" s="1405"/>
      <c r="M1553" s="1405"/>
      <c r="S1553" s="1731"/>
    </row>
    <row r="1554" spans="1:19" x14ac:dyDescent="0.2">
      <c r="A1554" s="1402"/>
      <c r="B1554" s="1405"/>
      <c r="C1554" s="1407"/>
      <c r="D1554" s="1405"/>
      <c r="E1554" s="1405"/>
      <c r="F1554" s="1405"/>
      <c r="G1554" s="1405"/>
      <c r="H1554" s="1405"/>
      <c r="I1554" s="1405"/>
      <c r="J1554" s="1405"/>
      <c r="K1554" s="1405"/>
      <c r="L1554" s="1405"/>
      <c r="M1554" s="1405"/>
      <c r="S1554" s="1731"/>
    </row>
    <row r="1555" spans="1:19" x14ac:dyDescent="0.2">
      <c r="A1555" s="1402"/>
      <c r="B1555" s="1405"/>
      <c r="C1555" s="1407"/>
      <c r="D1555" s="1405"/>
      <c r="E1555" s="1405"/>
      <c r="F1555" s="1405"/>
      <c r="G1555" s="1405"/>
      <c r="H1555" s="1405"/>
      <c r="I1555" s="1405"/>
      <c r="J1555" s="1405"/>
      <c r="K1555" s="1405"/>
      <c r="L1555" s="1405"/>
      <c r="M1555" s="1405"/>
      <c r="S1555" s="1731"/>
    </row>
    <row r="1556" spans="1:19" x14ac:dyDescent="0.2">
      <c r="A1556" s="1402"/>
      <c r="B1556" s="1405"/>
      <c r="C1556" s="1407"/>
      <c r="D1556" s="1405"/>
      <c r="E1556" s="1405"/>
      <c r="F1556" s="1405"/>
      <c r="G1556" s="1405"/>
      <c r="H1556" s="1405"/>
      <c r="I1556" s="1405"/>
      <c r="J1556" s="1405"/>
      <c r="K1556" s="1405"/>
      <c r="L1556" s="1405"/>
      <c r="M1556" s="1405"/>
      <c r="S1556" s="1731"/>
    </row>
    <row r="1557" spans="1:19" x14ac:dyDescent="0.2">
      <c r="A1557" s="1402"/>
      <c r="B1557" s="1405"/>
      <c r="C1557" s="1407"/>
      <c r="D1557" s="1405"/>
      <c r="E1557" s="1405"/>
      <c r="F1557" s="1405"/>
      <c r="G1557" s="1405"/>
      <c r="H1557" s="1405"/>
      <c r="I1557" s="1405"/>
      <c r="J1557" s="1405"/>
      <c r="K1557" s="1405"/>
      <c r="L1557" s="1405"/>
      <c r="M1557" s="1405"/>
      <c r="S1557" s="1731"/>
    </row>
    <row r="1558" spans="1:19" x14ac:dyDescent="0.2">
      <c r="A1558" s="1402"/>
      <c r="B1558" s="1405"/>
      <c r="C1558" s="1407"/>
      <c r="D1558" s="1405"/>
      <c r="E1558" s="1405"/>
      <c r="F1558" s="1405"/>
      <c r="G1558" s="1405"/>
      <c r="H1558" s="1405"/>
      <c r="I1558" s="1405"/>
      <c r="J1558" s="1405"/>
      <c r="K1558" s="1405"/>
      <c r="L1558" s="1405"/>
      <c r="M1558" s="1405"/>
      <c r="S1558" s="1731"/>
    </row>
    <row r="1559" spans="1:19" x14ac:dyDescent="0.2">
      <c r="A1559" s="1402"/>
      <c r="B1559" s="1405"/>
      <c r="C1559" s="1407"/>
      <c r="D1559" s="1405"/>
      <c r="E1559" s="1405"/>
      <c r="F1559" s="1405"/>
      <c r="G1559" s="1405"/>
      <c r="H1559" s="1405"/>
      <c r="I1559" s="1405"/>
      <c r="J1559" s="1405"/>
      <c r="K1559" s="1405"/>
      <c r="L1559" s="1405"/>
      <c r="M1559" s="1405"/>
      <c r="S1559" s="1731"/>
    </row>
    <row r="1560" spans="1:19" x14ac:dyDescent="0.2">
      <c r="A1560" s="1402"/>
      <c r="B1560" s="1405"/>
      <c r="C1560" s="1407"/>
      <c r="D1560" s="1405"/>
      <c r="E1560" s="1405"/>
      <c r="F1560" s="1405"/>
      <c r="G1560" s="1405"/>
      <c r="H1560" s="1405"/>
      <c r="I1560" s="1405"/>
      <c r="J1560" s="1405"/>
      <c r="K1560" s="1405"/>
      <c r="L1560" s="1405"/>
      <c r="M1560" s="1405"/>
      <c r="S1560" s="1731"/>
    </row>
    <row r="1561" spans="1:19" x14ac:dyDescent="0.2">
      <c r="A1561" s="1402"/>
      <c r="B1561" s="1405"/>
      <c r="C1561" s="1407"/>
      <c r="D1561" s="1405"/>
      <c r="E1561" s="1405"/>
      <c r="F1561" s="1405"/>
      <c r="G1561" s="1405"/>
      <c r="H1561" s="1405"/>
      <c r="I1561" s="1405"/>
      <c r="J1561" s="1405"/>
      <c r="K1561" s="1405"/>
      <c r="L1561" s="1405"/>
      <c r="M1561" s="1405"/>
      <c r="S1561" s="1731"/>
    </row>
    <row r="1562" spans="1:19" x14ac:dyDescent="0.2">
      <c r="A1562" s="1402"/>
      <c r="B1562" s="1405"/>
      <c r="C1562" s="1407"/>
      <c r="D1562" s="1405"/>
      <c r="E1562" s="1405"/>
      <c r="F1562" s="1405"/>
      <c r="G1562" s="1405"/>
      <c r="H1562" s="1405"/>
      <c r="I1562" s="1405"/>
      <c r="J1562" s="1405"/>
      <c r="K1562" s="1405"/>
      <c r="L1562" s="1405"/>
      <c r="M1562" s="1405"/>
      <c r="S1562" s="1731"/>
    </row>
    <row r="1563" spans="1:19" x14ac:dyDescent="0.2">
      <c r="A1563" s="1402"/>
      <c r="B1563" s="1405"/>
      <c r="C1563" s="1407"/>
      <c r="D1563" s="1405"/>
      <c r="E1563" s="1405"/>
      <c r="F1563" s="1405"/>
      <c r="G1563" s="1405"/>
      <c r="H1563" s="1405"/>
      <c r="I1563" s="1405"/>
      <c r="J1563" s="1405"/>
      <c r="K1563" s="1405"/>
      <c r="L1563" s="1405"/>
      <c r="M1563" s="1405"/>
      <c r="S1563" s="1731"/>
    </row>
    <row r="1564" spans="1:19" x14ac:dyDescent="0.2">
      <c r="A1564" s="1402"/>
      <c r="B1564" s="1405"/>
      <c r="C1564" s="1407"/>
      <c r="D1564" s="1405"/>
      <c r="E1564" s="1405"/>
      <c r="F1564" s="1405"/>
      <c r="G1564" s="1405"/>
      <c r="H1564" s="1405"/>
      <c r="I1564" s="1405"/>
      <c r="J1564" s="1405"/>
      <c r="K1564" s="1405"/>
      <c r="L1564" s="1405"/>
      <c r="M1564" s="1405"/>
      <c r="S1564" s="1731"/>
    </row>
    <row r="1565" spans="1:19" x14ac:dyDescent="0.2">
      <c r="A1565" s="1402"/>
      <c r="B1565" s="1405"/>
      <c r="C1565" s="1407"/>
      <c r="D1565" s="1405"/>
      <c r="E1565" s="1405"/>
      <c r="F1565" s="1405"/>
      <c r="G1565" s="1405"/>
      <c r="H1565" s="1405"/>
      <c r="I1565" s="1405"/>
      <c r="J1565" s="1405"/>
      <c r="K1565" s="1405"/>
      <c r="L1565" s="1405"/>
      <c r="M1565" s="1405"/>
      <c r="S1565" s="1731"/>
    </row>
    <row r="1566" spans="1:19" x14ac:dyDescent="0.2">
      <c r="A1566" s="1402"/>
      <c r="B1566" s="1405"/>
      <c r="C1566" s="1407"/>
      <c r="D1566" s="1405"/>
      <c r="E1566" s="1405"/>
      <c r="F1566" s="1405"/>
      <c r="G1566" s="1405"/>
      <c r="H1566" s="1405"/>
      <c r="I1566" s="1405"/>
      <c r="J1566" s="1405"/>
      <c r="K1566" s="1405"/>
      <c r="L1566" s="1405"/>
      <c r="M1566" s="1405"/>
      <c r="S1566" s="1731"/>
    </row>
    <row r="1567" spans="1:19" x14ac:dyDescent="0.2">
      <c r="A1567" s="1402"/>
      <c r="B1567" s="1405"/>
      <c r="C1567" s="1407"/>
      <c r="D1567" s="1405"/>
      <c r="E1567" s="1405"/>
      <c r="F1567" s="1405"/>
      <c r="G1567" s="1405"/>
      <c r="H1567" s="1405"/>
      <c r="I1567" s="1405"/>
      <c r="J1567" s="1405"/>
      <c r="K1567" s="1405"/>
      <c r="L1567" s="1405"/>
      <c r="M1567" s="1405"/>
      <c r="S1567" s="1731"/>
    </row>
    <row r="1568" spans="1:19" x14ac:dyDescent="0.2">
      <c r="A1568" s="1402"/>
      <c r="B1568" s="1405"/>
      <c r="C1568" s="1407"/>
      <c r="D1568" s="1405"/>
      <c r="E1568" s="1405"/>
      <c r="F1568" s="1405"/>
      <c r="G1568" s="1405"/>
      <c r="H1568" s="1405"/>
      <c r="I1568" s="1405"/>
      <c r="J1568" s="1405"/>
      <c r="K1568" s="1405"/>
      <c r="L1568" s="1405"/>
      <c r="M1568" s="1405"/>
      <c r="S1568" s="1731"/>
    </row>
    <row r="1569" spans="1:19" x14ac:dyDescent="0.2">
      <c r="A1569" s="1402"/>
      <c r="B1569" s="1405"/>
      <c r="C1569" s="1407"/>
      <c r="D1569" s="1405"/>
      <c r="E1569" s="1405"/>
      <c r="F1569" s="1405"/>
      <c r="G1569" s="1405"/>
      <c r="H1569" s="1405"/>
      <c r="I1569" s="1405"/>
      <c r="J1569" s="1405"/>
      <c r="K1569" s="1405"/>
      <c r="L1569" s="1405"/>
      <c r="M1569" s="1405"/>
      <c r="S1569" s="1731"/>
    </row>
    <row r="1570" spans="1:19" x14ac:dyDescent="0.2">
      <c r="A1570" s="1402"/>
      <c r="B1570" s="1405"/>
      <c r="C1570" s="1407"/>
      <c r="D1570" s="1405"/>
      <c r="E1570" s="1405"/>
      <c r="F1570" s="1405"/>
      <c r="G1570" s="1405"/>
      <c r="H1570" s="1405"/>
      <c r="I1570" s="1405"/>
      <c r="J1570" s="1405"/>
      <c r="K1570" s="1405"/>
      <c r="L1570" s="1405"/>
      <c r="M1570" s="1405"/>
      <c r="S1570" s="1731"/>
    </row>
    <row r="1571" spans="1:19" x14ac:dyDescent="0.2">
      <c r="A1571" s="1402"/>
      <c r="B1571" s="1405"/>
      <c r="C1571" s="1407"/>
      <c r="D1571" s="1405"/>
      <c r="E1571" s="1405"/>
      <c r="F1571" s="1405"/>
      <c r="G1571" s="1405"/>
      <c r="H1571" s="1405"/>
      <c r="I1571" s="1405"/>
      <c r="J1571" s="1405"/>
      <c r="K1571" s="1405"/>
      <c r="L1571" s="1405"/>
      <c r="M1571" s="1405"/>
      <c r="S1571" s="1731"/>
    </row>
    <row r="1572" spans="1:19" x14ac:dyDescent="0.2">
      <c r="A1572" s="1402"/>
      <c r="B1572" s="1405"/>
      <c r="C1572" s="1407"/>
      <c r="D1572" s="1405"/>
      <c r="E1572" s="1405"/>
      <c r="F1572" s="1405"/>
      <c r="G1572" s="1405"/>
      <c r="H1572" s="1405"/>
      <c r="I1572" s="1405"/>
      <c r="J1572" s="1405"/>
      <c r="K1572" s="1405"/>
      <c r="L1572" s="1405"/>
      <c r="M1572" s="1405"/>
      <c r="S1572" s="1731"/>
    </row>
    <row r="1573" spans="1:19" x14ac:dyDescent="0.2">
      <c r="A1573" s="1402"/>
      <c r="B1573" s="1405"/>
      <c r="C1573" s="1407"/>
      <c r="D1573" s="1405"/>
      <c r="E1573" s="1405"/>
      <c r="F1573" s="1405"/>
      <c r="G1573" s="1405"/>
      <c r="H1573" s="1405"/>
      <c r="I1573" s="1405"/>
      <c r="J1573" s="1405"/>
      <c r="K1573" s="1405"/>
      <c r="L1573" s="1405"/>
      <c r="M1573" s="1405"/>
      <c r="S1573" s="1731"/>
    </row>
    <row r="1574" spans="1:19" x14ac:dyDescent="0.2">
      <c r="A1574" s="1402"/>
      <c r="B1574" s="1405"/>
      <c r="C1574" s="1407"/>
      <c r="D1574" s="1405"/>
      <c r="E1574" s="1405"/>
      <c r="F1574" s="1405"/>
      <c r="G1574" s="1405"/>
      <c r="H1574" s="1405"/>
      <c r="I1574" s="1405"/>
      <c r="J1574" s="1405"/>
      <c r="K1574" s="1405"/>
      <c r="L1574" s="1405"/>
      <c r="M1574" s="1405"/>
      <c r="S1574" s="1731"/>
    </row>
    <row r="1575" spans="1:19" x14ac:dyDescent="0.2">
      <c r="A1575" s="1402"/>
      <c r="B1575" s="1405"/>
      <c r="C1575" s="1407"/>
      <c r="D1575" s="1405"/>
      <c r="E1575" s="1405"/>
      <c r="F1575" s="1405"/>
      <c r="G1575" s="1405"/>
      <c r="H1575" s="1405"/>
      <c r="I1575" s="1405"/>
      <c r="J1575" s="1405"/>
      <c r="K1575" s="1405"/>
      <c r="L1575" s="1405"/>
      <c r="M1575" s="1405"/>
      <c r="S1575" s="1731"/>
    </row>
    <row r="1576" spans="1:19" x14ac:dyDescent="0.2">
      <c r="A1576" s="1402"/>
      <c r="B1576" s="1405"/>
      <c r="C1576" s="1407"/>
      <c r="D1576" s="1405"/>
      <c r="E1576" s="1405"/>
      <c r="F1576" s="1405"/>
      <c r="G1576" s="1405"/>
      <c r="H1576" s="1405"/>
      <c r="I1576" s="1405"/>
      <c r="J1576" s="1405"/>
      <c r="K1576" s="1405"/>
      <c r="L1576" s="1405"/>
      <c r="M1576" s="1405"/>
      <c r="S1576" s="1731"/>
    </row>
    <row r="1577" spans="1:19" x14ac:dyDescent="0.2">
      <c r="A1577" s="1402"/>
      <c r="B1577" s="1405"/>
      <c r="C1577" s="1407"/>
      <c r="D1577" s="1405"/>
      <c r="E1577" s="1405"/>
      <c r="F1577" s="1405"/>
      <c r="G1577" s="1405"/>
      <c r="H1577" s="1405"/>
      <c r="I1577" s="1405"/>
      <c r="J1577" s="1405"/>
      <c r="K1577" s="1405"/>
      <c r="L1577" s="1405"/>
      <c r="M1577" s="1405"/>
      <c r="S1577" s="1731"/>
    </row>
    <row r="1578" spans="1:19" x14ac:dyDescent="0.2">
      <c r="A1578" s="1402"/>
      <c r="B1578" s="1405"/>
      <c r="C1578" s="1407"/>
      <c r="D1578" s="1405"/>
      <c r="E1578" s="1405"/>
      <c r="F1578" s="1405"/>
      <c r="G1578" s="1405"/>
      <c r="H1578" s="1405"/>
      <c r="I1578" s="1405"/>
      <c r="J1578" s="1405"/>
      <c r="K1578" s="1405"/>
      <c r="L1578" s="1405"/>
      <c r="M1578" s="1405"/>
      <c r="S1578" s="1731"/>
    </row>
    <row r="1579" spans="1:19" x14ac:dyDescent="0.2">
      <c r="A1579" s="1402"/>
      <c r="B1579" s="1405"/>
      <c r="C1579" s="1407"/>
      <c r="D1579" s="1405"/>
      <c r="E1579" s="1405"/>
      <c r="F1579" s="1405"/>
      <c r="G1579" s="1405"/>
      <c r="H1579" s="1405"/>
      <c r="I1579" s="1405"/>
      <c r="J1579" s="1405"/>
      <c r="K1579" s="1405"/>
      <c r="L1579" s="1405"/>
      <c r="M1579" s="1405"/>
      <c r="S1579" s="1731"/>
    </row>
    <row r="1580" spans="1:19" x14ac:dyDescent="0.2">
      <c r="A1580" s="1402"/>
      <c r="B1580" s="1405"/>
      <c r="C1580" s="1407"/>
      <c r="D1580" s="1405"/>
      <c r="E1580" s="1405"/>
      <c r="F1580" s="1405"/>
      <c r="G1580" s="1405"/>
      <c r="H1580" s="1405"/>
      <c r="I1580" s="1405"/>
      <c r="J1580" s="1405"/>
      <c r="K1580" s="1405"/>
      <c r="L1580" s="1405"/>
      <c r="M1580" s="1405"/>
      <c r="S1580" s="1731"/>
    </row>
    <row r="1581" spans="1:19" x14ac:dyDescent="0.2">
      <c r="A1581" s="1402"/>
      <c r="B1581" s="1405"/>
      <c r="C1581" s="1407"/>
      <c r="D1581" s="1405"/>
      <c r="E1581" s="1405"/>
      <c r="F1581" s="1405"/>
      <c r="G1581" s="1405"/>
      <c r="H1581" s="1405"/>
      <c r="I1581" s="1405"/>
      <c r="J1581" s="1405"/>
      <c r="K1581" s="1405"/>
      <c r="L1581" s="1405"/>
      <c r="M1581" s="1405"/>
      <c r="S1581" s="1731"/>
    </row>
    <row r="1582" spans="1:19" x14ac:dyDescent="0.2">
      <c r="A1582" s="1402"/>
      <c r="B1582" s="1405"/>
      <c r="C1582" s="1407"/>
      <c r="D1582" s="1405"/>
      <c r="E1582" s="1405"/>
      <c r="F1582" s="1405"/>
      <c r="G1582" s="1405"/>
      <c r="H1582" s="1405"/>
      <c r="I1582" s="1405"/>
      <c r="J1582" s="1405"/>
      <c r="K1582" s="1405"/>
      <c r="L1582" s="1405"/>
      <c r="M1582" s="1405"/>
      <c r="S1582" s="1731"/>
    </row>
    <row r="1583" spans="1:19" x14ac:dyDescent="0.2">
      <c r="A1583" s="1402"/>
      <c r="B1583" s="1405"/>
      <c r="C1583" s="1407"/>
      <c r="D1583" s="1405"/>
      <c r="E1583" s="1405"/>
      <c r="F1583" s="1405"/>
      <c r="G1583" s="1405"/>
      <c r="H1583" s="1405"/>
      <c r="I1583" s="1405"/>
      <c r="J1583" s="1405"/>
      <c r="K1583" s="1405"/>
      <c r="L1583" s="1405"/>
      <c r="M1583" s="1405"/>
      <c r="S1583" s="1731"/>
    </row>
    <row r="1584" spans="1:19" x14ac:dyDescent="0.2">
      <c r="A1584" s="1402"/>
      <c r="B1584" s="1405"/>
      <c r="C1584" s="1407"/>
      <c r="D1584" s="1405"/>
      <c r="E1584" s="1405"/>
      <c r="F1584" s="1405"/>
      <c r="G1584" s="1405"/>
      <c r="H1584" s="1405"/>
      <c r="I1584" s="1405"/>
      <c r="J1584" s="1405"/>
      <c r="K1584" s="1405"/>
      <c r="L1584" s="1405"/>
      <c r="M1584" s="1405"/>
      <c r="S1584" s="1731"/>
    </row>
    <row r="1585" spans="1:19" x14ac:dyDescent="0.2">
      <c r="A1585" s="1402"/>
      <c r="B1585" s="1405"/>
      <c r="C1585" s="1407"/>
      <c r="D1585" s="1405"/>
      <c r="E1585" s="1405"/>
      <c r="F1585" s="1405"/>
      <c r="G1585" s="1405"/>
      <c r="H1585" s="1405"/>
      <c r="I1585" s="1405"/>
      <c r="J1585" s="1405"/>
      <c r="K1585" s="1405"/>
      <c r="L1585" s="1405"/>
      <c r="M1585" s="1405"/>
      <c r="S1585" s="1731"/>
    </row>
    <row r="1586" spans="1:19" x14ac:dyDescent="0.2">
      <c r="A1586" s="1402"/>
      <c r="B1586" s="1405"/>
      <c r="C1586" s="1407"/>
      <c r="D1586" s="1405"/>
      <c r="E1586" s="1405"/>
      <c r="F1586" s="1405"/>
      <c r="G1586" s="1405"/>
      <c r="H1586" s="1405"/>
      <c r="I1586" s="1405"/>
      <c r="J1586" s="1405"/>
      <c r="K1586" s="1405"/>
      <c r="L1586" s="1405"/>
      <c r="M1586" s="1405"/>
      <c r="S1586" s="1731"/>
    </row>
    <row r="1587" spans="1:19" x14ac:dyDescent="0.2">
      <c r="A1587" s="1402"/>
      <c r="B1587" s="1405"/>
      <c r="C1587" s="1407"/>
      <c r="D1587" s="1405"/>
      <c r="E1587" s="1405"/>
      <c r="F1587" s="1405"/>
      <c r="G1587" s="1405"/>
      <c r="H1587" s="1405"/>
      <c r="I1587" s="1405"/>
      <c r="J1587" s="1405"/>
      <c r="K1587" s="1405"/>
      <c r="L1587" s="1405"/>
      <c r="M1587" s="1405"/>
      <c r="S1587" s="1731"/>
    </row>
    <row r="1588" spans="1:19" x14ac:dyDescent="0.2">
      <c r="A1588" s="1402"/>
      <c r="B1588" s="1405"/>
      <c r="C1588" s="1407"/>
      <c r="D1588" s="1405"/>
      <c r="E1588" s="1405"/>
      <c r="F1588" s="1405"/>
      <c r="G1588" s="1405"/>
      <c r="H1588" s="1405"/>
      <c r="I1588" s="1405"/>
      <c r="J1588" s="1405"/>
      <c r="K1588" s="1405"/>
      <c r="L1588" s="1405"/>
      <c r="M1588" s="1405"/>
      <c r="S1588" s="1731"/>
    </row>
    <row r="1589" spans="1:19" x14ac:dyDescent="0.2">
      <c r="A1589" s="1402"/>
      <c r="B1589" s="1405"/>
      <c r="C1589" s="1407"/>
      <c r="D1589" s="1405"/>
      <c r="E1589" s="1405"/>
      <c r="F1589" s="1405"/>
      <c r="G1589" s="1405"/>
      <c r="H1589" s="1405"/>
      <c r="I1589" s="1405"/>
      <c r="J1589" s="1405"/>
      <c r="K1589" s="1405"/>
      <c r="L1589" s="1405"/>
      <c r="M1589" s="1405"/>
      <c r="S1589" s="1731"/>
    </row>
    <row r="1590" spans="1:19" x14ac:dyDescent="0.2">
      <c r="A1590" s="1402"/>
      <c r="B1590" s="1405"/>
      <c r="C1590" s="1407"/>
      <c r="D1590" s="1405"/>
      <c r="E1590" s="1405"/>
      <c r="F1590" s="1405"/>
      <c r="G1590" s="1405"/>
      <c r="H1590" s="1405"/>
      <c r="I1590" s="1405"/>
      <c r="J1590" s="1405"/>
      <c r="K1590" s="1405"/>
      <c r="L1590" s="1405"/>
      <c r="M1590" s="1405"/>
      <c r="S1590" s="1731"/>
    </row>
    <row r="1591" spans="1:19" x14ac:dyDescent="0.2">
      <c r="A1591" s="1402"/>
      <c r="B1591" s="1405"/>
      <c r="C1591" s="1407"/>
      <c r="D1591" s="1405"/>
      <c r="E1591" s="1405"/>
      <c r="F1591" s="1405"/>
      <c r="G1591" s="1405"/>
      <c r="H1591" s="1405"/>
      <c r="I1591" s="1405"/>
      <c r="J1591" s="1405"/>
      <c r="K1591" s="1405"/>
      <c r="L1591" s="1405"/>
      <c r="M1591" s="1405"/>
      <c r="S1591" s="1731"/>
    </row>
    <row r="1592" spans="1:19" x14ac:dyDescent="0.2">
      <c r="A1592" s="1402"/>
      <c r="B1592" s="1405"/>
      <c r="C1592" s="1407"/>
      <c r="D1592" s="1405"/>
      <c r="E1592" s="1405"/>
      <c r="F1592" s="1405"/>
      <c r="G1592" s="1405"/>
      <c r="H1592" s="1405"/>
      <c r="I1592" s="1405"/>
      <c r="J1592" s="1405"/>
      <c r="K1592" s="1405"/>
      <c r="L1592" s="1405"/>
      <c r="M1592" s="1405"/>
      <c r="S1592" s="1731"/>
    </row>
    <row r="1593" spans="1:19" x14ac:dyDescent="0.2">
      <c r="A1593" s="1402"/>
      <c r="B1593" s="1405"/>
      <c r="C1593" s="1407"/>
      <c r="D1593" s="1405"/>
      <c r="E1593" s="1405"/>
      <c r="F1593" s="1405"/>
      <c r="G1593" s="1405"/>
      <c r="H1593" s="1405"/>
      <c r="I1593" s="1405"/>
      <c r="J1593" s="1405"/>
      <c r="K1593" s="1405"/>
      <c r="L1593" s="1405"/>
      <c r="M1593" s="1405"/>
      <c r="S1593" s="1731"/>
    </row>
    <row r="1594" spans="1:19" x14ac:dyDescent="0.2">
      <c r="A1594" s="1402"/>
      <c r="B1594" s="1405"/>
      <c r="C1594" s="1407"/>
      <c r="D1594" s="1405"/>
      <c r="E1594" s="1405"/>
      <c r="F1594" s="1405"/>
      <c r="G1594" s="1405"/>
      <c r="H1594" s="1405"/>
      <c r="I1594" s="1405"/>
      <c r="J1594" s="1405"/>
      <c r="K1594" s="1405"/>
      <c r="L1594" s="1405"/>
      <c r="M1594" s="1405"/>
      <c r="S1594" s="1731"/>
    </row>
    <row r="1595" spans="1:19" x14ac:dyDescent="0.2">
      <c r="A1595" s="1402"/>
      <c r="B1595" s="1405"/>
      <c r="C1595" s="1407"/>
      <c r="D1595" s="1405"/>
      <c r="E1595" s="1405"/>
      <c r="F1595" s="1405"/>
      <c r="G1595" s="1405"/>
      <c r="H1595" s="1405"/>
      <c r="I1595" s="1405"/>
      <c r="J1595" s="1405"/>
      <c r="K1595" s="1405"/>
      <c r="L1595" s="1405"/>
      <c r="M1595" s="1405"/>
      <c r="S1595" s="1731"/>
    </row>
    <row r="1596" spans="1:19" x14ac:dyDescent="0.2">
      <c r="A1596" s="1402"/>
      <c r="B1596" s="1405"/>
      <c r="C1596" s="1407"/>
      <c r="D1596" s="1405"/>
      <c r="E1596" s="1405"/>
      <c r="F1596" s="1405"/>
      <c r="G1596" s="1405"/>
      <c r="H1596" s="1405"/>
      <c r="I1596" s="1405"/>
      <c r="J1596" s="1405"/>
      <c r="K1596" s="1405"/>
      <c r="L1596" s="1405"/>
      <c r="M1596" s="1405"/>
      <c r="S1596" s="1731"/>
    </row>
    <row r="1597" spans="1:19" x14ac:dyDescent="0.2">
      <c r="A1597" s="1402"/>
      <c r="B1597" s="1405"/>
      <c r="C1597" s="1407"/>
      <c r="D1597" s="1405"/>
      <c r="E1597" s="1405"/>
      <c r="F1597" s="1405"/>
      <c r="G1597" s="1405"/>
      <c r="H1597" s="1405"/>
      <c r="I1597" s="1405"/>
      <c r="J1597" s="1405"/>
      <c r="K1597" s="1405"/>
      <c r="L1597" s="1405"/>
      <c r="M1597" s="1405"/>
      <c r="S1597" s="1731"/>
    </row>
    <row r="1598" spans="1:19" x14ac:dyDescent="0.2">
      <c r="A1598" s="1402"/>
      <c r="B1598" s="1405"/>
      <c r="C1598" s="1407"/>
      <c r="D1598" s="1405"/>
      <c r="E1598" s="1405"/>
      <c r="F1598" s="1405"/>
      <c r="G1598" s="1405"/>
      <c r="H1598" s="1405"/>
      <c r="I1598" s="1405"/>
      <c r="J1598" s="1405"/>
      <c r="K1598" s="1405"/>
      <c r="L1598" s="1405"/>
      <c r="M1598" s="1405"/>
      <c r="S1598" s="1731"/>
    </row>
    <row r="1599" spans="1:19" x14ac:dyDescent="0.2">
      <c r="A1599" s="1402"/>
      <c r="B1599" s="1405"/>
      <c r="C1599" s="1407"/>
      <c r="D1599" s="1405"/>
      <c r="E1599" s="1405"/>
      <c r="F1599" s="1405"/>
      <c r="G1599" s="1405"/>
      <c r="H1599" s="1405"/>
      <c r="I1599" s="1405"/>
      <c r="J1599" s="1405"/>
      <c r="K1599" s="1405"/>
      <c r="L1599" s="1405"/>
      <c r="M1599" s="1405"/>
      <c r="S1599" s="1731"/>
    </row>
    <row r="1600" spans="1:19" x14ac:dyDescent="0.2">
      <c r="A1600" s="1402"/>
      <c r="B1600" s="1405"/>
      <c r="C1600" s="1407"/>
      <c r="D1600" s="1405"/>
      <c r="E1600" s="1405"/>
      <c r="F1600" s="1405"/>
      <c r="G1600" s="1405"/>
      <c r="H1600" s="1405"/>
      <c r="I1600" s="1405"/>
      <c r="J1600" s="1405"/>
      <c r="K1600" s="1405"/>
      <c r="L1600" s="1405"/>
      <c r="M1600" s="1405"/>
      <c r="S1600" s="1731"/>
    </row>
    <row r="1601" spans="1:19" x14ac:dyDescent="0.2">
      <c r="A1601" s="1402"/>
      <c r="B1601" s="1405"/>
      <c r="C1601" s="1407"/>
      <c r="D1601" s="1405"/>
      <c r="E1601" s="1405"/>
      <c r="F1601" s="1405"/>
      <c r="G1601" s="1405"/>
      <c r="H1601" s="1405"/>
      <c r="I1601" s="1405"/>
      <c r="J1601" s="1405"/>
      <c r="K1601" s="1405"/>
      <c r="L1601" s="1405"/>
      <c r="M1601" s="1405"/>
      <c r="S1601" s="1731"/>
    </row>
    <row r="1602" spans="1:19" x14ac:dyDescent="0.2">
      <c r="A1602" s="1402"/>
      <c r="B1602" s="1405"/>
      <c r="C1602" s="1407"/>
      <c r="D1602" s="1405"/>
      <c r="E1602" s="1405"/>
      <c r="F1602" s="1405"/>
      <c r="G1602" s="1405"/>
      <c r="H1602" s="1405"/>
      <c r="I1602" s="1405"/>
      <c r="J1602" s="1405"/>
      <c r="K1602" s="1405"/>
      <c r="L1602" s="1405"/>
      <c r="M1602" s="1405"/>
      <c r="S1602" s="1731"/>
    </row>
    <row r="1603" spans="1:19" x14ac:dyDescent="0.2">
      <c r="A1603" s="1402"/>
      <c r="B1603" s="1405"/>
      <c r="C1603" s="1407"/>
      <c r="D1603" s="1405"/>
      <c r="E1603" s="1405"/>
      <c r="F1603" s="1405"/>
      <c r="G1603" s="1405"/>
      <c r="H1603" s="1405"/>
      <c r="I1603" s="1405"/>
      <c r="J1603" s="1405"/>
      <c r="K1603" s="1405"/>
      <c r="L1603" s="1405"/>
      <c r="M1603" s="1405"/>
      <c r="S1603" s="1731"/>
    </row>
    <row r="1604" spans="1:19" x14ac:dyDescent="0.2">
      <c r="A1604" s="1402"/>
      <c r="B1604" s="1405"/>
      <c r="C1604" s="1407"/>
      <c r="D1604" s="1405"/>
      <c r="E1604" s="1405"/>
      <c r="F1604" s="1405"/>
      <c r="G1604" s="1405"/>
      <c r="H1604" s="1405"/>
      <c r="I1604" s="1405"/>
      <c r="J1604" s="1405"/>
      <c r="K1604" s="1405"/>
      <c r="L1604" s="1405"/>
      <c r="M1604" s="1405"/>
      <c r="S1604" s="1731"/>
    </row>
    <row r="1605" spans="1:19" x14ac:dyDescent="0.2">
      <c r="A1605" s="1402"/>
      <c r="B1605" s="1405"/>
      <c r="C1605" s="1407"/>
      <c r="D1605" s="1405"/>
      <c r="E1605" s="1405"/>
      <c r="F1605" s="1405"/>
      <c r="G1605" s="1405"/>
      <c r="H1605" s="1405"/>
      <c r="I1605" s="1405"/>
      <c r="J1605" s="1405"/>
      <c r="K1605" s="1405"/>
      <c r="L1605" s="1405"/>
      <c r="M1605" s="1405"/>
      <c r="S1605" s="1731"/>
    </row>
    <row r="1606" spans="1:19" x14ac:dyDescent="0.2">
      <c r="A1606" s="1402"/>
      <c r="B1606" s="1405"/>
      <c r="C1606" s="1407"/>
      <c r="D1606" s="1405"/>
      <c r="E1606" s="1405"/>
      <c r="F1606" s="1405"/>
      <c r="G1606" s="1405"/>
      <c r="H1606" s="1405"/>
      <c r="I1606" s="1405"/>
      <c r="J1606" s="1405"/>
      <c r="K1606" s="1405"/>
      <c r="L1606" s="1405"/>
      <c r="M1606" s="1405"/>
      <c r="S1606" s="1731"/>
    </row>
    <row r="1607" spans="1:19" x14ac:dyDescent="0.2">
      <c r="A1607" s="1402"/>
      <c r="B1607" s="1405"/>
      <c r="C1607" s="1407"/>
      <c r="D1607" s="1405"/>
      <c r="E1607" s="1405"/>
      <c r="F1607" s="1405"/>
      <c r="G1607" s="1405"/>
      <c r="H1607" s="1405"/>
      <c r="I1607" s="1405"/>
      <c r="J1607" s="1405"/>
      <c r="K1607" s="1405"/>
      <c r="L1607" s="1405"/>
      <c r="M1607" s="1405"/>
      <c r="S1607" s="1731"/>
    </row>
    <row r="1608" spans="1:19" x14ac:dyDescent="0.2">
      <c r="A1608" s="1402"/>
      <c r="B1608" s="1405"/>
      <c r="C1608" s="1407"/>
      <c r="D1608" s="1405"/>
      <c r="E1608" s="1405"/>
      <c r="F1608" s="1405"/>
      <c r="G1608" s="1405"/>
      <c r="H1608" s="1405"/>
      <c r="I1608" s="1405"/>
      <c r="J1608" s="1405"/>
      <c r="K1608" s="1405"/>
      <c r="L1608" s="1405"/>
      <c r="M1608" s="1405"/>
      <c r="S1608" s="1731"/>
    </row>
    <row r="1609" spans="1:19" x14ac:dyDescent="0.2">
      <c r="A1609" s="1402"/>
      <c r="B1609" s="1405"/>
      <c r="C1609" s="1407"/>
      <c r="D1609" s="1405"/>
      <c r="E1609" s="1405"/>
      <c r="F1609" s="1405"/>
      <c r="G1609" s="1405"/>
      <c r="H1609" s="1405"/>
      <c r="I1609" s="1405"/>
      <c r="J1609" s="1405"/>
      <c r="K1609" s="1405"/>
      <c r="L1609" s="1405"/>
      <c r="M1609" s="1405"/>
      <c r="S1609" s="1731"/>
    </row>
    <row r="1610" spans="1:19" x14ac:dyDescent="0.2">
      <c r="A1610" s="1402"/>
      <c r="B1610" s="1405"/>
      <c r="C1610" s="1407"/>
      <c r="D1610" s="1405"/>
      <c r="E1610" s="1405"/>
      <c r="F1610" s="1405"/>
      <c r="G1610" s="1405"/>
      <c r="H1610" s="1405"/>
      <c r="I1610" s="1405"/>
      <c r="J1610" s="1405"/>
      <c r="K1610" s="1405"/>
      <c r="L1610" s="1405"/>
      <c r="M1610" s="1405"/>
      <c r="S1610" s="1731"/>
    </row>
    <row r="1611" spans="1:19" x14ac:dyDescent="0.2">
      <c r="A1611" s="1402"/>
      <c r="B1611" s="1405"/>
      <c r="C1611" s="1407"/>
      <c r="D1611" s="1405"/>
      <c r="E1611" s="1405"/>
      <c r="F1611" s="1405"/>
      <c r="G1611" s="1405"/>
      <c r="H1611" s="1405"/>
      <c r="I1611" s="1405"/>
      <c r="J1611" s="1405"/>
      <c r="K1611" s="1405"/>
      <c r="L1611" s="1405"/>
      <c r="M1611" s="1405"/>
      <c r="S1611" s="1731"/>
    </row>
    <row r="1612" spans="1:19" x14ac:dyDescent="0.2">
      <c r="A1612" s="1402"/>
      <c r="B1612" s="1405"/>
      <c r="C1612" s="1407"/>
      <c r="D1612" s="1405"/>
      <c r="E1612" s="1405"/>
      <c r="F1612" s="1405"/>
      <c r="G1612" s="1405"/>
      <c r="H1612" s="1405"/>
      <c r="I1612" s="1405"/>
      <c r="J1612" s="1405"/>
      <c r="K1612" s="1405"/>
      <c r="L1612" s="1405"/>
      <c r="M1612" s="1405"/>
      <c r="S1612" s="1731"/>
    </row>
    <row r="1613" spans="1:19" x14ac:dyDescent="0.2">
      <c r="A1613" s="1402"/>
      <c r="B1613" s="1405"/>
      <c r="C1613" s="1407"/>
      <c r="D1613" s="1405"/>
      <c r="E1613" s="1405"/>
      <c r="F1613" s="1405"/>
      <c r="G1613" s="1405"/>
      <c r="H1613" s="1405"/>
      <c r="I1613" s="1405"/>
      <c r="J1613" s="1405"/>
      <c r="K1613" s="1405"/>
      <c r="L1613" s="1405"/>
      <c r="M1613" s="1405"/>
      <c r="S1613" s="1731"/>
    </row>
    <row r="1614" spans="1:19" x14ac:dyDescent="0.2">
      <c r="A1614" s="1402"/>
      <c r="B1614" s="1405"/>
      <c r="C1614" s="1407"/>
      <c r="D1614" s="1405"/>
      <c r="E1614" s="1405"/>
      <c r="F1614" s="1405"/>
      <c r="G1614" s="1405"/>
      <c r="H1614" s="1405"/>
      <c r="I1614" s="1405"/>
      <c r="J1614" s="1405"/>
      <c r="K1614" s="1405"/>
      <c r="L1614" s="1405"/>
      <c r="M1614" s="1405"/>
      <c r="S1614" s="1731"/>
    </row>
    <row r="1615" spans="1:19" x14ac:dyDescent="0.2">
      <c r="A1615" s="1402"/>
      <c r="B1615" s="1405"/>
      <c r="C1615" s="1407"/>
      <c r="D1615" s="1405"/>
      <c r="E1615" s="1405"/>
      <c r="F1615" s="1405"/>
      <c r="G1615" s="1405"/>
      <c r="H1615" s="1405"/>
      <c r="I1615" s="1405"/>
      <c r="J1615" s="1405"/>
      <c r="K1615" s="1405"/>
      <c r="L1615" s="1405"/>
      <c r="M1615" s="1405"/>
      <c r="S1615" s="1731"/>
    </row>
    <row r="1616" spans="1:19" x14ac:dyDescent="0.2">
      <c r="A1616" s="1402"/>
      <c r="B1616" s="1405"/>
      <c r="C1616" s="1407"/>
      <c r="D1616" s="1405"/>
      <c r="E1616" s="1405"/>
      <c r="F1616" s="1405"/>
      <c r="G1616" s="1405"/>
      <c r="H1616" s="1405"/>
      <c r="I1616" s="1405"/>
      <c r="J1616" s="1405"/>
      <c r="K1616" s="1405"/>
      <c r="L1616" s="1405"/>
      <c r="M1616" s="1405"/>
      <c r="S1616" s="1731"/>
    </row>
    <row r="1617" spans="1:19" x14ac:dyDescent="0.2">
      <c r="A1617" s="1402"/>
      <c r="B1617" s="1405"/>
      <c r="C1617" s="1407"/>
      <c r="D1617" s="1405"/>
      <c r="E1617" s="1405"/>
      <c r="F1617" s="1405"/>
      <c r="G1617" s="1405"/>
      <c r="H1617" s="1405"/>
      <c r="I1617" s="1405"/>
      <c r="J1617" s="1405"/>
      <c r="K1617" s="1405"/>
      <c r="L1617" s="1405"/>
      <c r="M1617" s="1405"/>
      <c r="S1617" s="1731"/>
    </row>
    <row r="1618" spans="1:19" x14ac:dyDescent="0.2">
      <c r="A1618" s="1402"/>
      <c r="B1618" s="1405"/>
      <c r="C1618" s="1407"/>
      <c r="D1618" s="1405"/>
      <c r="E1618" s="1405"/>
      <c r="F1618" s="1405"/>
      <c r="G1618" s="1405"/>
      <c r="H1618" s="1405"/>
      <c r="I1618" s="1405"/>
      <c r="J1618" s="1405"/>
      <c r="K1618" s="1405"/>
      <c r="L1618" s="1405"/>
      <c r="M1618" s="1405"/>
      <c r="S1618" s="1731"/>
    </row>
    <row r="1619" spans="1:19" x14ac:dyDescent="0.2">
      <c r="A1619" s="1402"/>
      <c r="B1619" s="1405"/>
      <c r="C1619" s="1407"/>
      <c r="D1619" s="1405"/>
      <c r="E1619" s="1405"/>
      <c r="F1619" s="1405"/>
      <c r="G1619" s="1405"/>
      <c r="H1619" s="1405"/>
      <c r="I1619" s="1405"/>
      <c r="J1619" s="1405"/>
      <c r="K1619" s="1405"/>
      <c r="L1619" s="1405"/>
      <c r="M1619" s="1405"/>
      <c r="S1619" s="1731"/>
    </row>
    <row r="1620" spans="1:19" x14ac:dyDescent="0.2">
      <c r="A1620" s="1402"/>
      <c r="B1620" s="1405"/>
      <c r="C1620" s="1407"/>
      <c r="D1620" s="1405"/>
      <c r="E1620" s="1405"/>
      <c r="F1620" s="1405"/>
      <c r="G1620" s="1405"/>
      <c r="H1620" s="1405"/>
      <c r="I1620" s="1405"/>
      <c r="J1620" s="1405"/>
      <c r="K1620" s="1405"/>
      <c r="L1620" s="1405"/>
      <c r="M1620" s="1405"/>
      <c r="S1620" s="1731"/>
    </row>
    <row r="1621" spans="1:19" x14ac:dyDescent="0.2">
      <c r="A1621" s="1402"/>
      <c r="B1621" s="1405"/>
      <c r="C1621" s="1407"/>
      <c r="D1621" s="1405"/>
      <c r="E1621" s="1405"/>
      <c r="F1621" s="1405"/>
      <c r="G1621" s="1405"/>
      <c r="H1621" s="1405"/>
      <c r="I1621" s="1405"/>
      <c r="J1621" s="1405"/>
      <c r="K1621" s="1405"/>
      <c r="L1621" s="1405"/>
      <c r="M1621" s="1405"/>
      <c r="S1621" s="1731"/>
    </row>
    <row r="1622" spans="1:19" x14ac:dyDescent="0.2">
      <c r="A1622" s="1402"/>
      <c r="B1622" s="1405"/>
      <c r="C1622" s="1407"/>
      <c r="D1622" s="1405"/>
      <c r="E1622" s="1405"/>
      <c r="F1622" s="1405"/>
      <c r="G1622" s="1405"/>
      <c r="H1622" s="1405"/>
      <c r="I1622" s="1405"/>
      <c r="J1622" s="1405"/>
      <c r="K1622" s="1405"/>
      <c r="L1622" s="1405"/>
      <c r="M1622" s="1405"/>
      <c r="S1622" s="1731"/>
    </row>
    <row r="1623" spans="1:19" x14ac:dyDescent="0.2">
      <c r="A1623" s="1402"/>
      <c r="B1623" s="1405"/>
      <c r="C1623" s="1407"/>
      <c r="D1623" s="1405"/>
      <c r="E1623" s="1405"/>
      <c r="F1623" s="1405"/>
      <c r="G1623" s="1405"/>
      <c r="H1623" s="1405"/>
      <c r="I1623" s="1405"/>
      <c r="J1623" s="1405"/>
      <c r="K1623" s="1405"/>
      <c r="L1623" s="1405"/>
      <c r="M1623" s="1405"/>
      <c r="S1623" s="1731"/>
    </row>
    <row r="1624" spans="1:19" x14ac:dyDescent="0.2">
      <c r="A1624" s="1402"/>
      <c r="B1624" s="1405"/>
      <c r="C1624" s="1407"/>
      <c r="D1624" s="1405"/>
      <c r="E1624" s="1405"/>
      <c r="F1624" s="1405"/>
      <c r="G1624" s="1405"/>
      <c r="H1624" s="1405"/>
      <c r="I1624" s="1405"/>
      <c r="J1624" s="1405"/>
      <c r="K1624" s="1405"/>
      <c r="L1624" s="1405"/>
      <c r="M1624" s="1405"/>
      <c r="S1624" s="1731"/>
    </row>
    <row r="1625" spans="1:19" x14ac:dyDescent="0.2">
      <c r="A1625" s="1402"/>
      <c r="B1625" s="1405"/>
      <c r="C1625" s="1407"/>
      <c r="D1625" s="1405"/>
      <c r="E1625" s="1405"/>
      <c r="F1625" s="1405"/>
      <c r="G1625" s="1405"/>
      <c r="H1625" s="1405"/>
      <c r="I1625" s="1405"/>
      <c r="J1625" s="1405"/>
      <c r="K1625" s="1405"/>
      <c r="L1625" s="1405"/>
      <c r="M1625" s="1405"/>
      <c r="S1625" s="1731"/>
    </row>
    <row r="1626" spans="1:19" x14ac:dyDescent="0.2">
      <c r="A1626" s="1402"/>
      <c r="B1626" s="1405"/>
      <c r="C1626" s="1407"/>
      <c r="D1626" s="1405"/>
      <c r="E1626" s="1405"/>
      <c r="F1626" s="1405"/>
      <c r="G1626" s="1405"/>
      <c r="H1626" s="1405"/>
      <c r="I1626" s="1405"/>
      <c r="J1626" s="1405"/>
      <c r="K1626" s="1405"/>
      <c r="L1626" s="1405"/>
      <c r="M1626" s="1405"/>
      <c r="S1626" s="1731"/>
    </row>
    <row r="1627" spans="1:19" x14ac:dyDescent="0.2">
      <c r="A1627" s="1402"/>
      <c r="B1627" s="1405"/>
      <c r="C1627" s="1407"/>
      <c r="D1627" s="1405"/>
      <c r="E1627" s="1405"/>
      <c r="F1627" s="1405"/>
      <c r="G1627" s="1405"/>
      <c r="H1627" s="1405"/>
      <c r="I1627" s="1405"/>
      <c r="J1627" s="1405"/>
      <c r="K1627" s="1405"/>
      <c r="L1627" s="1405"/>
      <c r="M1627" s="1405"/>
      <c r="S1627" s="1731"/>
    </row>
    <row r="1628" spans="1:19" x14ac:dyDescent="0.2">
      <c r="A1628" s="1402"/>
      <c r="B1628" s="1405"/>
      <c r="C1628" s="1407"/>
      <c r="D1628" s="1405"/>
      <c r="E1628" s="1405"/>
      <c r="F1628" s="1405"/>
      <c r="G1628" s="1405"/>
      <c r="H1628" s="1405"/>
      <c r="I1628" s="1405"/>
      <c r="J1628" s="1405"/>
      <c r="K1628" s="1405"/>
      <c r="L1628" s="1405"/>
      <c r="M1628" s="1405"/>
      <c r="S1628" s="1731"/>
    </row>
    <row r="1629" spans="1:19" x14ac:dyDescent="0.2">
      <c r="A1629" s="1402"/>
      <c r="B1629" s="1405"/>
      <c r="C1629" s="1407"/>
      <c r="D1629" s="1405"/>
      <c r="E1629" s="1405"/>
      <c r="F1629" s="1405"/>
      <c r="G1629" s="1405"/>
      <c r="H1629" s="1405"/>
      <c r="I1629" s="1405"/>
      <c r="J1629" s="1405"/>
      <c r="K1629" s="1405"/>
      <c r="L1629" s="1405"/>
      <c r="M1629" s="1405"/>
      <c r="S1629" s="1731"/>
    </row>
    <row r="1630" spans="1:19" x14ac:dyDescent="0.2">
      <c r="A1630" s="1402"/>
      <c r="B1630" s="1405"/>
      <c r="C1630" s="1407"/>
      <c r="D1630" s="1405"/>
      <c r="E1630" s="1405"/>
      <c r="F1630" s="1405"/>
      <c r="G1630" s="1405"/>
      <c r="H1630" s="1405"/>
      <c r="I1630" s="1405"/>
      <c r="J1630" s="1405"/>
      <c r="K1630" s="1405"/>
      <c r="L1630" s="1405"/>
      <c r="M1630" s="1405"/>
      <c r="S1630" s="1731"/>
    </row>
    <row r="1631" spans="1:19" x14ac:dyDescent="0.2">
      <c r="A1631" s="1402"/>
      <c r="B1631" s="1405"/>
      <c r="C1631" s="1407"/>
      <c r="D1631" s="1405"/>
      <c r="E1631" s="1405"/>
      <c r="F1631" s="1405"/>
      <c r="G1631" s="1405"/>
      <c r="H1631" s="1405"/>
      <c r="I1631" s="1405"/>
      <c r="J1631" s="1405"/>
      <c r="K1631" s="1405"/>
      <c r="L1631" s="1405"/>
      <c r="M1631" s="1405"/>
      <c r="S1631" s="1731"/>
    </row>
    <row r="1632" spans="1:19" x14ac:dyDescent="0.2">
      <c r="A1632" s="1402"/>
      <c r="B1632" s="1405"/>
      <c r="C1632" s="1407"/>
      <c r="D1632" s="1405"/>
      <c r="E1632" s="1405"/>
      <c r="F1632" s="1405"/>
      <c r="G1632" s="1405"/>
      <c r="H1632" s="1405"/>
      <c r="I1632" s="1405"/>
      <c r="J1632" s="1405"/>
      <c r="K1632" s="1405"/>
      <c r="L1632" s="1405"/>
      <c r="M1632" s="1405"/>
      <c r="S1632" s="1731"/>
    </row>
    <row r="1633" spans="1:19" x14ac:dyDescent="0.2">
      <c r="A1633" s="1402"/>
      <c r="B1633" s="1405"/>
      <c r="C1633" s="1407"/>
      <c r="D1633" s="1405"/>
      <c r="E1633" s="1405"/>
      <c r="F1633" s="1405"/>
      <c r="G1633" s="1405"/>
      <c r="H1633" s="1405"/>
      <c r="I1633" s="1405"/>
      <c r="J1633" s="1405"/>
      <c r="K1633" s="1405"/>
      <c r="L1633" s="1405"/>
      <c r="M1633" s="1405"/>
      <c r="S1633" s="1731"/>
    </row>
    <row r="1634" spans="1:19" x14ac:dyDescent="0.2">
      <c r="A1634" s="1402"/>
      <c r="B1634" s="1405"/>
      <c r="C1634" s="1407"/>
      <c r="D1634" s="1405"/>
      <c r="E1634" s="1405"/>
      <c r="F1634" s="1405"/>
      <c r="G1634" s="1405"/>
      <c r="H1634" s="1405"/>
      <c r="I1634" s="1405"/>
      <c r="J1634" s="1405"/>
      <c r="K1634" s="1405"/>
      <c r="L1634" s="1405"/>
      <c r="M1634" s="1405"/>
      <c r="S1634" s="1731"/>
    </row>
    <row r="1635" spans="1:19" x14ac:dyDescent="0.2">
      <c r="A1635" s="1402"/>
      <c r="B1635" s="1405"/>
      <c r="C1635" s="1407"/>
      <c r="D1635" s="1405"/>
      <c r="E1635" s="1405"/>
      <c r="F1635" s="1405"/>
      <c r="G1635" s="1405"/>
      <c r="H1635" s="1405"/>
      <c r="I1635" s="1405"/>
      <c r="J1635" s="1405"/>
      <c r="K1635" s="1405"/>
      <c r="L1635" s="1405"/>
      <c r="M1635" s="1405"/>
      <c r="S1635" s="1731"/>
    </row>
    <row r="1636" spans="1:19" x14ac:dyDescent="0.2">
      <c r="A1636" s="1402"/>
      <c r="B1636" s="1405"/>
      <c r="C1636" s="1407"/>
      <c r="D1636" s="1405"/>
      <c r="E1636" s="1405"/>
      <c r="F1636" s="1405"/>
      <c r="G1636" s="1405"/>
      <c r="H1636" s="1405"/>
      <c r="I1636" s="1405"/>
      <c r="J1636" s="1405"/>
      <c r="K1636" s="1405"/>
      <c r="L1636" s="1405"/>
      <c r="M1636" s="1405"/>
      <c r="S1636" s="1731"/>
    </row>
    <row r="1637" spans="1:19" x14ac:dyDescent="0.2">
      <c r="A1637" s="1402"/>
      <c r="B1637" s="1405"/>
      <c r="C1637" s="1407"/>
      <c r="D1637" s="1405"/>
      <c r="E1637" s="1405"/>
      <c r="F1637" s="1405"/>
      <c r="G1637" s="1405"/>
      <c r="H1637" s="1405"/>
      <c r="I1637" s="1405"/>
      <c r="J1637" s="1405"/>
      <c r="K1637" s="1405"/>
      <c r="L1637" s="1405"/>
      <c r="M1637" s="1405"/>
      <c r="S1637" s="1731"/>
    </row>
    <row r="1638" spans="1:19" x14ac:dyDescent="0.2">
      <c r="A1638" s="1402"/>
      <c r="B1638" s="1405"/>
      <c r="C1638" s="1407"/>
      <c r="D1638" s="1405"/>
      <c r="E1638" s="1405"/>
      <c r="F1638" s="1405"/>
      <c r="G1638" s="1405"/>
      <c r="H1638" s="1405"/>
      <c r="I1638" s="1405"/>
      <c r="J1638" s="1405"/>
      <c r="K1638" s="1405"/>
      <c r="L1638" s="1405"/>
      <c r="M1638" s="1405"/>
      <c r="S1638" s="1731"/>
    </row>
    <row r="1639" spans="1:19" x14ac:dyDescent="0.2">
      <c r="A1639" s="1402"/>
      <c r="B1639" s="1405"/>
      <c r="C1639" s="1407"/>
      <c r="D1639" s="1405"/>
      <c r="E1639" s="1405"/>
      <c r="F1639" s="1405"/>
      <c r="G1639" s="1405"/>
      <c r="H1639" s="1405"/>
      <c r="I1639" s="1405"/>
      <c r="J1639" s="1405"/>
      <c r="K1639" s="1405"/>
      <c r="L1639" s="1405"/>
      <c r="M1639" s="1405"/>
      <c r="S1639" s="1731"/>
    </row>
    <row r="1640" spans="1:19" x14ac:dyDescent="0.2">
      <c r="A1640" s="1402"/>
      <c r="B1640" s="1405"/>
      <c r="C1640" s="1407"/>
      <c r="D1640" s="1405"/>
      <c r="E1640" s="1405"/>
      <c r="F1640" s="1405"/>
      <c r="G1640" s="1405"/>
      <c r="H1640" s="1405"/>
      <c r="I1640" s="1405"/>
      <c r="J1640" s="1405"/>
      <c r="K1640" s="1405"/>
      <c r="L1640" s="1405"/>
      <c r="M1640" s="1405"/>
      <c r="S1640" s="1731"/>
    </row>
    <row r="1641" spans="1:19" x14ac:dyDescent="0.2">
      <c r="A1641" s="1402"/>
      <c r="B1641" s="1405"/>
      <c r="C1641" s="1407"/>
      <c r="D1641" s="1405"/>
      <c r="E1641" s="1405"/>
      <c r="F1641" s="1405"/>
      <c r="G1641" s="1405"/>
      <c r="H1641" s="1405"/>
      <c r="I1641" s="1405"/>
      <c r="J1641" s="1405"/>
      <c r="K1641" s="1405"/>
      <c r="L1641" s="1405"/>
      <c r="M1641" s="1405"/>
      <c r="S1641" s="1731"/>
    </row>
    <row r="1642" spans="1:19" x14ac:dyDescent="0.2">
      <c r="A1642" s="1402"/>
      <c r="B1642" s="1405"/>
      <c r="C1642" s="1407"/>
      <c r="D1642" s="1405"/>
      <c r="E1642" s="1405"/>
      <c r="F1642" s="1405"/>
      <c r="G1642" s="1405"/>
      <c r="H1642" s="1405"/>
      <c r="I1642" s="1405"/>
      <c r="J1642" s="1405"/>
      <c r="K1642" s="1405"/>
      <c r="L1642" s="1405"/>
      <c r="M1642" s="1405"/>
      <c r="S1642" s="1731"/>
    </row>
    <row r="1643" spans="1:19" x14ac:dyDescent="0.2">
      <c r="A1643" s="1402"/>
      <c r="B1643" s="1405"/>
      <c r="C1643" s="1407"/>
      <c r="D1643" s="1405"/>
      <c r="E1643" s="1405"/>
      <c r="F1643" s="1405"/>
      <c r="G1643" s="1405"/>
      <c r="H1643" s="1405"/>
      <c r="I1643" s="1405"/>
      <c r="J1643" s="1405"/>
      <c r="K1643" s="1405"/>
      <c r="L1643" s="1405"/>
      <c r="M1643" s="1405"/>
      <c r="S1643" s="1731"/>
    </row>
    <row r="1644" spans="1:19" x14ac:dyDescent="0.2">
      <c r="A1644" s="1402"/>
      <c r="B1644" s="1405"/>
      <c r="C1644" s="1407"/>
      <c r="D1644" s="1405"/>
      <c r="E1644" s="1405"/>
      <c r="F1644" s="1405"/>
      <c r="G1644" s="1405"/>
      <c r="H1644" s="1405"/>
      <c r="I1644" s="1405"/>
      <c r="J1644" s="1405"/>
      <c r="K1644" s="1405"/>
      <c r="L1644" s="1405"/>
      <c r="M1644" s="1405"/>
      <c r="S1644" s="1731"/>
    </row>
    <row r="1645" spans="1:19" x14ac:dyDescent="0.2">
      <c r="A1645" s="1402"/>
      <c r="B1645" s="1405"/>
      <c r="C1645" s="1407"/>
      <c r="D1645" s="1405"/>
      <c r="E1645" s="1405"/>
      <c r="F1645" s="1405"/>
      <c r="G1645" s="1405"/>
      <c r="H1645" s="1405"/>
      <c r="I1645" s="1405"/>
      <c r="J1645" s="1405"/>
      <c r="K1645" s="1405"/>
      <c r="L1645" s="1405"/>
      <c r="M1645" s="1405"/>
      <c r="S1645" s="1731"/>
    </row>
    <row r="1646" spans="1:19" x14ac:dyDescent="0.2">
      <c r="A1646" s="1402"/>
      <c r="B1646" s="1405"/>
      <c r="C1646" s="1407"/>
      <c r="D1646" s="1405"/>
      <c r="E1646" s="1405"/>
      <c r="F1646" s="1405"/>
      <c r="G1646" s="1405"/>
      <c r="H1646" s="1405"/>
      <c r="I1646" s="1405"/>
      <c r="J1646" s="1405"/>
      <c r="K1646" s="1405"/>
      <c r="L1646" s="1405"/>
      <c r="M1646" s="1405"/>
      <c r="S1646" s="1731"/>
    </row>
    <row r="1647" spans="1:19" x14ac:dyDescent="0.2">
      <c r="A1647" s="1402"/>
      <c r="B1647" s="1405"/>
      <c r="C1647" s="1407"/>
      <c r="D1647" s="1405"/>
      <c r="E1647" s="1405"/>
      <c r="F1647" s="1405"/>
      <c r="G1647" s="1405"/>
      <c r="H1647" s="1405"/>
      <c r="I1647" s="1405"/>
      <c r="J1647" s="1405"/>
      <c r="K1647" s="1405"/>
      <c r="L1647" s="1405"/>
      <c r="M1647" s="1405"/>
      <c r="S1647" s="1731"/>
    </row>
    <row r="1648" spans="1:19" x14ac:dyDescent="0.2">
      <c r="A1648" s="1402"/>
      <c r="B1648" s="1405"/>
      <c r="C1648" s="1407"/>
      <c r="D1648" s="1405"/>
      <c r="E1648" s="1405"/>
      <c r="F1648" s="1405"/>
      <c r="G1648" s="1405"/>
      <c r="H1648" s="1405"/>
      <c r="I1648" s="1405"/>
      <c r="J1648" s="1405"/>
      <c r="K1648" s="1405"/>
      <c r="L1648" s="1405"/>
      <c r="M1648" s="1405"/>
      <c r="S1648" s="1731"/>
    </row>
    <row r="1649" spans="1:19" x14ac:dyDescent="0.2">
      <c r="A1649" s="1402"/>
      <c r="B1649" s="1405"/>
      <c r="C1649" s="1407"/>
      <c r="D1649" s="1405"/>
      <c r="E1649" s="1405"/>
      <c r="F1649" s="1405"/>
      <c r="G1649" s="1405"/>
      <c r="H1649" s="1405"/>
      <c r="I1649" s="1405"/>
      <c r="J1649" s="1405"/>
      <c r="K1649" s="1405"/>
      <c r="L1649" s="1405"/>
      <c r="M1649" s="1405"/>
      <c r="S1649" s="1731"/>
    </row>
    <row r="1650" spans="1:19" x14ac:dyDescent="0.2">
      <c r="A1650" s="1402"/>
      <c r="B1650" s="1405"/>
      <c r="C1650" s="1407"/>
      <c r="D1650" s="1405"/>
      <c r="E1650" s="1405"/>
      <c r="F1650" s="1405"/>
      <c r="G1650" s="1405"/>
      <c r="H1650" s="1405"/>
      <c r="I1650" s="1405"/>
      <c r="J1650" s="1405"/>
      <c r="K1650" s="1405"/>
      <c r="L1650" s="1405"/>
      <c r="M1650" s="1405"/>
      <c r="S1650" s="1731"/>
    </row>
    <row r="1651" spans="1:19" x14ac:dyDescent="0.2">
      <c r="A1651" s="1402"/>
      <c r="B1651" s="1405"/>
      <c r="C1651" s="1407"/>
      <c r="D1651" s="1405"/>
      <c r="E1651" s="1405"/>
      <c r="F1651" s="1405"/>
      <c r="G1651" s="1405"/>
      <c r="H1651" s="1405"/>
      <c r="I1651" s="1405"/>
      <c r="J1651" s="1405"/>
      <c r="K1651" s="1405"/>
      <c r="L1651" s="1405"/>
      <c r="M1651" s="1405"/>
      <c r="S1651" s="1731"/>
    </row>
    <row r="1652" spans="1:19" x14ac:dyDescent="0.2">
      <c r="A1652" s="1402"/>
      <c r="B1652" s="1405"/>
      <c r="C1652" s="1407"/>
      <c r="D1652" s="1405"/>
      <c r="E1652" s="1405"/>
      <c r="F1652" s="1405"/>
      <c r="G1652" s="1405"/>
      <c r="H1652" s="1405"/>
      <c r="I1652" s="1405"/>
      <c r="J1652" s="1405"/>
      <c r="K1652" s="1405"/>
      <c r="L1652" s="1405"/>
      <c r="M1652" s="1405"/>
      <c r="S1652" s="1731"/>
    </row>
    <row r="1653" spans="1:19" x14ac:dyDescent="0.2">
      <c r="A1653" s="1402"/>
      <c r="B1653" s="1405"/>
      <c r="C1653" s="1407"/>
      <c r="D1653" s="1405"/>
      <c r="E1653" s="1405"/>
      <c r="F1653" s="1405"/>
      <c r="G1653" s="1405"/>
      <c r="H1653" s="1405"/>
      <c r="I1653" s="1405"/>
      <c r="J1653" s="1405"/>
      <c r="K1653" s="1405"/>
      <c r="L1653" s="1405"/>
      <c r="M1653" s="1405"/>
      <c r="S1653" s="1731"/>
    </row>
    <row r="1654" spans="1:19" x14ac:dyDescent="0.2">
      <c r="A1654" s="1402"/>
      <c r="B1654" s="1405"/>
      <c r="C1654" s="1407"/>
      <c r="D1654" s="1405"/>
      <c r="E1654" s="1405"/>
      <c r="F1654" s="1405"/>
      <c r="G1654" s="1405"/>
      <c r="H1654" s="1405"/>
      <c r="I1654" s="1405"/>
      <c r="J1654" s="1405"/>
      <c r="K1654" s="1405"/>
      <c r="L1654" s="1405"/>
      <c r="M1654" s="1405"/>
      <c r="S1654" s="1731"/>
    </row>
    <row r="1655" spans="1:19" x14ac:dyDescent="0.2">
      <c r="A1655" s="1402"/>
      <c r="B1655" s="1405"/>
      <c r="C1655" s="1407"/>
      <c r="D1655" s="1405"/>
      <c r="E1655" s="1405"/>
      <c r="F1655" s="1405"/>
      <c r="G1655" s="1405"/>
      <c r="H1655" s="1405"/>
      <c r="I1655" s="1405"/>
      <c r="J1655" s="1405"/>
      <c r="K1655" s="1405"/>
      <c r="L1655" s="1405"/>
      <c r="M1655" s="1405"/>
      <c r="S1655" s="1731"/>
    </row>
    <row r="1656" spans="1:19" x14ac:dyDescent="0.2">
      <c r="A1656" s="1402"/>
      <c r="B1656" s="1405"/>
      <c r="C1656" s="1407"/>
      <c r="D1656" s="1405"/>
      <c r="E1656" s="1405"/>
      <c r="F1656" s="1405"/>
      <c r="G1656" s="1405"/>
      <c r="H1656" s="1405"/>
      <c r="I1656" s="1405"/>
      <c r="J1656" s="1405"/>
      <c r="K1656" s="1405"/>
      <c r="L1656" s="1405"/>
      <c r="M1656" s="1405"/>
      <c r="S1656" s="1731"/>
    </row>
    <row r="1657" spans="1:19" x14ac:dyDescent="0.2">
      <c r="A1657" s="1402"/>
      <c r="B1657" s="1405"/>
      <c r="C1657" s="1407"/>
      <c r="D1657" s="1405"/>
      <c r="E1657" s="1405"/>
      <c r="F1657" s="1405"/>
      <c r="G1657" s="1405"/>
      <c r="H1657" s="1405"/>
      <c r="I1657" s="1405"/>
      <c r="J1657" s="1405"/>
      <c r="K1657" s="1405"/>
      <c r="L1657" s="1405"/>
      <c r="M1657" s="1405"/>
      <c r="S1657" s="1731"/>
    </row>
    <row r="1658" spans="1:19" x14ac:dyDescent="0.2">
      <c r="A1658" s="1402"/>
      <c r="B1658" s="1405"/>
      <c r="C1658" s="1407"/>
      <c r="D1658" s="1405"/>
      <c r="E1658" s="1405"/>
      <c r="F1658" s="1405"/>
      <c r="G1658" s="1405"/>
      <c r="H1658" s="1405"/>
      <c r="I1658" s="1405"/>
      <c r="J1658" s="1405"/>
      <c r="K1658" s="1405"/>
      <c r="L1658" s="1405"/>
      <c r="M1658" s="1405"/>
      <c r="S1658" s="1731"/>
    </row>
    <row r="1659" spans="1:19" x14ac:dyDescent="0.2">
      <c r="A1659" s="1402"/>
      <c r="B1659" s="1405"/>
      <c r="C1659" s="1407"/>
      <c r="D1659" s="1405"/>
      <c r="E1659" s="1405"/>
      <c r="F1659" s="1405"/>
      <c r="G1659" s="1405"/>
      <c r="H1659" s="1405"/>
      <c r="I1659" s="1405"/>
      <c r="J1659" s="1405"/>
      <c r="K1659" s="1405"/>
      <c r="L1659" s="1405"/>
      <c r="M1659" s="1405"/>
      <c r="S1659" s="1731"/>
    </row>
    <row r="1660" spans="1:19" x14ac:dyDescent="0.2">
      <c r="A1660" s="1402"/>
      <c r="B1660" s="1405"/>
      <c r="C1660" s="1407"/>
      <c r="D1660" s="1405"/>
      <c r="E1660" s="1405"/>
      <c r="F1660" s="1405"/>
      <c r="G1660" s="1405"/>
      <c r="H1660" s="1405"/>
      <c r="I1660" s="1405"/>
      <c r="J1660" s="1405"/>
      <c r="K1660" s="1405"/>
      <c r="L1660" s="1405"/>
      <c r="M1660" s="1405"/>
      <c r="S1660" s="1731"/>
    </row>
    <row r="1661" spans="1:19" x14ac:dyDescent="0.2">
      <c r="A1661" s="1402"/>
      <c r="B1661" s="1405"/>
      <c r="C1661" s="1407"/>
      <c r="D1661" s="1405"/>
      <c r="E1661" s="1405"/>
      <c r="F1661" s="1405"/>
      <c r="G1661" s="1405"/>
      <c r="H1661" s="1405"/>
      <c r="I1661" s="1405"/>
      <c r="J1661" s="1405"/>
      <c r="K1661" s="1405"/>
      <c r="L1661" s="1405"/>
      <c r="M1661" s="1405"/>
      <c r="S1661" s="1731"/>
    </row>
    <row r="1662" spans="1:19" x14ac:dyDescent="0.2">
      <c r="A1662" s="1402"/>
      <c r="B1662" s="1405"/>
      <c r="C1662" s="1407"/>
      <c r="D1662" s="1405"/>
      <c r="E1662" s="1405"/>
      <c r="F1662" s="1405"/>
      <c r="G1662" s="1405"/>
      <c r="H1662" s="1405"/>
      <c r="I1662" s="1405"/>
      <c r="J1662" s="1405"/>
      <c r="K1662" s="1405"/>
      <c r="L1662" s="1405"/>
      <c r="M1662" s="1405"/>
      <c r="S1662" s="1731"/>
    </row>
    <row r="1663" spans="1:19" x14ac:dyDescent="0.2">
      <c r="A1663" s="1402"/>
      <c r="B1663" s="1405"/>
      <c r="C1663" s="1407"/>
      <c r="D1663" s="1405"/>
      <c r="E1663" s="1405"/>
      <c r="F1663" s="1405"/>
      <c r="G1663" s="1405"/>
      <c r="H1663" s="1405"/>
      <c r="I1663" s="1405"/>
      <c r="J1663" s="1405"/>
      <c r="K1663" s="1405"/>
      <c r="L1663" s="1405"/>
      <c r="M1663" s="1405"/>
      <c r="S1663" s="1731"/>
    </row>
    <row r="1664" spans="1:19" x14ac:dyDescent="0.2">
      <c r="A1664" s="1402"/>
      <c r="B1664" s="1405"/>
      <c r="C1664" s="1407"/>
      <c r="D1664" s="1405"/>
      <c r="E1664" s="1405"/>
      <c r="F1664" s="1405"/>
      <c r="G1664" s="1405"/>
      <c r="H1664" s="1405"/>
      <c r="I1664" s="1405"/>
      <c r="J1664" s="1405"/>
      <c r="K1664" s="1405"/>
      <c r="L1664" s="1405"/>
      <c r="M1664" s="1405"/>
      <c r="S1664" s="1731"/>
    </row>
    <row r="1665" spans="1:19" x14ac:dyDescent="0.2">
      <c r="A1665" s="1402"/>
      <c r="B1665" s="1405"/>
      <c r="C1665" s="1407"/>
      <c r="D1665" s="1405"/>
      <c r="E1665" s="1405"/>
      <c r="F1665" s="1405"/>
      <c r="G1665" s="1405"/>
      <c r="H1665" s="1405"/>
      <c r="I1665" s="1405"/>
      <c r="J1665" s="1405"/>
      <c r="K1665" s="1405"/>
      <c r="L1665" s="1405"/>
      <c r="M1665" s="1405"/>
      <c r="S1665" s="1731"/>
    </row>
    <row r="1666" spans="1:19" x14ac:dyDescent="0.2">
      <c r="A1666" s="1402"/>
      <c r="B1666" s="1405"/>
      <c r="C1666" s="1407"/>
      <c r="D1666" s="1405"/>
      <c r="E1666" s="1405"/>
      <c r="F1666" s="1405"/>
      <c r="G1666" s="1405"/>
      <c r="H1666" s="1405"/>
      <c r="I1666" s="1405"/>
      <c r="J1666" s="1405"/>
      <c r="K1666" s="1405"/>
      <c r="L1666" s="1405"/>
      <c r="M1666" s="1405"/>
      <c r="S1666" s="1731"/>
    </row>
    <row r="1667" spans="1:19" x14ac:dyDescent="0.2">
      <c r="A1667" s="1402"/>
      <c r="B1667" s="1405"/>
      <c r="C1667" s="1407"/>
      <c r="D1667" s="1405"/>
      <c r="E1667" s="1405"/>
      <c r="F1667" s="1405"/>
      <c r="G1667" s="1405"/>
      <c r="H1667" s="1405"/>
      <c r="I1667" s="1405"/>
      <c r="J1667" s="1405"/>
      <c r="K1667" s="1405"/>
      <c r="L1667" s="1405"/>
      <c r="M1667" s="1405"/>
      <c r="S1667" s="1731"/>
    </row>
    <row r="1668" spans="1:19" x14ac:dyDescent="0.2">
      <c r="A1668" s="1402"/>
      <c r="B1668" s="1405"/>
      <c r="C1668" s="1407"/>
      <c r="D1668" s="1405"/>
      <c r="E1668" s="1405"/>
      <c r="F1668" s="1405"/>
      <c r="G1668" s="1405"/>
      <c r="H1668" s="1405"/>
      <c r="I1668" s="1405"/>
      <c r="J1668" s="1405"/>
      <c r="K1668" s="1405"/>
      <c r="L1668" s="1405"/>
      <c r="M1668" s="1405"/>
      <c r="S1668" s="1731"/>
    </row>
    <row r="1669" spans="1:19" x14ac:dyDescent="0.2">
      <c r="A1669" s="1402"/>
      <c r="B1669" s="1405"/>
      <c r="C1669" s="1407"/>
      <c r="D1669" s="1405"/>
      <c r="E1669" s="1405"/>
      <c r="F1669" s="1405"/>
      <c r="G1669" s="1405"/>
      <c r="H1669" s="1405"/>
      <c r="I1669" s="1405"/>
      <c r="J1669" s="1405"/>
      <c r="K1669" s="1405"/>
      <c r="L1669" s="1405"/>
      <c r="M1669" s="1405"/>
      <c r="S1669" s="1731"/>
    </row>
    <row r="1670" spans="1:19" x14ac:dyDescent="0.2">
      <c r="A1670" s="1402"/>
      <c r="B1670" s="1405"/>
      <c r="C1670" s="1407"/>
      <c r="D1670" s="1405"/>
      <c r="E1670" s="1405"/>
      <c r="F1670" s="1405"/>
      <c r="G1670" s="1405"/>
      <c r="H1670" s="1405"/>
      <c r="I1670" s="1405"/>
      <c r="J1670" s="1405"/>
      <c r="K1670" s="1405"/>
      <c r="L1670" s="1405"/>
      <c r="M1670" s="1405"/>
      <c r="S1670" s="1731"/>
    </row>
    <row r="1671" spans="1:19" x14ac:dyDescent="0.2">
      <c r="A1671" s="1402"/>
      <c r="B1671" s="1405"/>
      <c r="C1671" s="1407"/>
      <c r="D1671" s="1405"/>
      <c r="E1671" s="1405"/>
      <c r="F1671" s="1405"/>
      <c r="G1671" s="1405"/>
      <c r="H1671" s="1405"/>
      <c r="I1671" s="1405"/>
      <c r="J1671" s="1405"/>
      <c r="K1671" s="1405"/>
      <c r="L1671" s="1405"/>
      <c r="M1671" s="1405"/>
      <c r="S1671" s="1731"/>
    </row>
    <row r="1672" spans="1:19" x14ac:dyDescent="0.2">
      <c r="A1672" s="1402"/>
      <c r="B1672" s="1405"/>
      <c r="C1672" s="1407"/>
      <c r="D1672" s="1405"/>
      <c r="E1672" s="1405"/>
      <c r="F1672" s="1405"/>
      <c r="G1672" s="1405"/>
      <c r="H1672" s="1405"/>
      <c r="I1672" s="1405"/>
      <c r="J1672" s="1405"/>
      <c r="K1672" s="1405"/>
      <c r="L1672" s="1405"/>
      <c r="M1672" s="1405"/>
      <c r="S1672" s="1731"/>
    </row>
    <row r="1673" spans="1:19" x14ac:dyDescent="0.2">
      <c r="A1673" s="1402"/>
      <c r="B1673" s="1405"/>
      <c r="C1673" s="1407"/>
      <c r="D1673" s="1405"/>
      <c r="E1673" s="1405"/>
      <c r="F1673" s="1405"/>
      <c r="G1673" s="1405"/>
      <c r="H1673" s="1405"/>
      <c r="I1673" s="1405"/>
      <c r="J1673" s="1405"/>
      <c r="K1673" s="1405"/>
      <c r="L1673" s="1405"/>
      <c r="M1673" s="1405"/>
      <c r="S1673" s="1731"/>
    </row>
    <row r="1674" spans="1:19" x14ac:dyDescent="0.2">
      <c r="A1674" s="1402"/>
      <c r="B1674" s="1405"/>
      <c r="C1674" s="1407"/>
      <c r="D1674" s="1405"/>
      <c r="E1674" s="1405"/>
      <c r="F1674" s="1405"/>
      <c r="G1674" s="1405"/>
      <c r="H1674" s="1405"/>
      <c r="I1674" s="1405"/>
      <c r="J1674" s="1405"/>
      <c r="K1674" s="1405"/>
      <c r="L1674" s="1405"/>
      <c r="M1674" s="1405"/>
      <c r="S1674" s="1731"/>
    </row>
    <row r="1675" spans="1:19" x14ac:dyDescent="0.2">
      <c r="A1675" s="1402"/>
      <c r="B1675" s="1405"/>
      <c r="C1675" s="1407"/>
      <c r="D1675" s="1405"/>
      <c r="E1675" s="1405"/>
      <c r="F1675" s="1405"/>
      <c r="G1675" s="1405"/>
      <c r="H1675" s="1405"/>
      <c r="I1675" s="1405"/>
      <c r="J1675" s="1405"/>
      <c r="K1675" s="1405"/>
      <c r="L1675" s="1405"/>
      <c r="M1675" s="1405"/>
      <c r="S1675" s="1731"/>
    </row>
    <row r="1676" spans="1:19" x14ac:dyDescent="0.2">
      <c r="A1676" s="1402"/>
      <c r="B1676" s="1405"/>
      <c r="C1676" s="1407"/>
      <c r="D1676" s="1405"/>
      <c r="E1676" s="1405"/>
      <c r="F1676" s="1405"/>
      <c r="G1676" s="1405"/>
      <c r="H1676" s="1405"/>
      <c r="I1676" s="1405"/>
      <c r="J1676" s="1405"/>
      <c r="K1676" s="1405"/>
      <c r="L1676" s="1405"/>
      <c r="M1676" s="1405"/>
      <c r="S1676" s="1731"/>
    </row>
    <row r="1677" spans="1:19" x14ac:dyDescent="0.2">
      <c r="A1677" s="1402"/>
      <c r="B1677" s="1405"/>
      <c r="C1677" s="1407"/>
      <c r="D1677" s="1405"/>
      <c r="E1677" s="1405"/>
      <c r="F1677" s="1405"/>
      <c r="G1677" s="1405"/>
      <c r="H1677" s="1405"/>
      <c r="I1677" s="1405"/>
      <c r="J1677" s="1405"/>
      <c r="K1677" s="1405"/>
      <c r="L1677" s="1405"/>
      <c r="M1677" s="1405"/>
      <c r="S1677" s="1731"/>
    </row>
    <row r="1678" spans="1:19" x14ac:dyDescent="0.2">
      <c r="A1678" s="1402"/>
      <c r="B1678" s="1405"/>
      <c r="C1678" s="1407"/>
      <c r="D1678" s="1405"/>
      <c r="E1678" s="1405"/>
      <c r="F1678" s="1405"/>
      <c r="G1678" s="1405"/>
      <c r="H1678" s="1405"/>
      <c r="I1678" s="1405"/>
      <c r="J1678" s="1405"/>
      <c r="K1678" s="1405"/>
      <c r="L1678" s="1405"/>
      <c r="M1678" s="1405"/>
      <c r="S1678" s="1731"/>
    </row>
    <row r="1679" spans="1:19" x14ac:dyDescent="0.2">
      <c r="A1679" s="1402"/>
      <c r="B1679" s="1405"/>
      <c r="C1679" s="1407"/>
      <c r="D1679" s="1405"/>
      <c r="E1679" s="1405"/>
      <c r="F1679" s="1405"/>
      <c r="G1679" s="1405"/>
      <c r="H1679" s="1405"/>
      <c r="I1679" s="1405"/>
      <c r="J1679" s="1405"/>
      <c r="K1679" s="1405"/>
      <c r="L1679" s="1405"/>
      <c r="M1679" s="1405"/>
      <c r="S1679" s="1731"/>
    </row>
    <row r="1680" spans="1:19" x14ac:dyDescent="0.2">
      <c r="A1680" s="1402"/>
      <c r="B1680" s="1405"/>
      <c r="C1680" s="1407"/>
      <c r="D1680" s="1405"/>
      <c r="E1680" s="1405"/>
      <c r="F1680" s="1405"/>
      <c r="G1680" s="1405"/>
      <c r="H1680" s="1405"/>
      <c r="I1680" s="1405"/>
      <c r="J1680" s="1405"/>
      <c r="K1680" s="1405"/>
      <c r="L1680" s="1405"/>
      <c r="M1680" s="1405"/>
      <c r="S1680" s="1731"/>
    </row>
    <row r="1681" spans="1:19" x14ac:dyDescent="0.2">
      <c r="A1681" s="1402"/>
      <c r="B1681" s="1405"/>
      <c r="C1681" s="1407"/>
      <c r="D1681" s="1405"/>
      <c r="E1681" s="1405"/>
      <c r="F1681" s="1405"/>
      <c r="G1681" s="1405"/>
      <c r="H1681" s="1405"/>
      <c r="I1681" s="1405"/>
      <c r="J1681" s="1405"/>
      <c r="K1681" s="1405"/>
      <c r="L1681" s="1405"/>
      <c r="M1681" s="1405"/>
      <c r="S1681" s="1731"/>
    </row>
    <row r="1682" spans="1:19" x14ac:dyDescent="0.2">
      <c r="A1682" s="1402"/>
      <c r="B1682" s="1405"/>
      <c r="C1682" s="1407"/>
      <c r="D1682" s="1405"/>
      <c r="E1682" s="1405"/>
      <c r="F1682" s="1405"/>
      <c r="G1682" s="1405"/>
      <c r="H1682" s="1405"/>
      <c r="I1682" s="1405"/>
      <c r="J1682" s="1405"/>
      <c r="K1682" s="1405"/>
      <c r="L1682" s="1405"/>
      <c r="M1682" s="1405"/>
      <c r="S1682" s="1731"/>
    </row>
    <row r="1683" spans="1:19" x14ac:dyDescent="0.2">
      <c r="A1683" s="1402"/>
      <c r="B1683" s="1405"/>
      <c r="C1683" s="1407"/>
      <c r="D1683" s="1405"/>
      <c r="E1683" s="1405"/>
      <c r="F1683" s="1405"/>
      <c r="G1683" s="1405"/>
      <c r="H1683" s="1405"/>
      <c r="I1683" s="1405"/>
      <c r="J1683" s="1405"/>
      <c r="K1683" s="1405"/>
      <c r="L1683" s="1405"/>
      <c r="M1683" s="1405"/>
      <c r="S1683" s="1731"/>
    </row>
    <row r="1684" spans="1:19" x14ac:dyDescent="0.2">
      <c r="A1684" s="1402"/>
      <c r="B1684" s="1405"/>
      <c r="C1684" s="1407"/>
      <c r="D1684" s="1405"/>
      <c r="E1684" s="1405"/>
      <c r="F1684" s="1405"/>
      <c r="G1684" s="1405"/>
      <c r="H1684" s="1405"/>
      <c r="I1684" s="1405"/>
      <c r="J1684" s="1405"/>
      <c r="K1684" s="1405"/>
      <c r="L1684" s="1405"/>
      <c r="M1684" s="1405"/>
      <c r="S1684" s="1731"/>
    </row>
    <row r="1685" spans="1:19" x14ac:dyDescent="0.2">
      <c r="A1685" s="1402"/>
      <c r="B1685" s="1405"/>
      <c r="C1685" s="1407"/>
      <c r="D1685" s="1405"/>
      <c r="E1685" s="1405"/>
      <c r="F1685" s="1405"/>
      <c r="G1685" s="1405"/>
      <c r="H1685" s="1405"/>
      <c r="I1685" s="1405"/>
      <c r="J1685" s="1405"/>
      <c r="K1685" s="1405"/>
      <c r="L1685" s="1405"/>
      <c r="M1685" s="1405"/>
      <c r="S1685" s="1731"/>
    </row>
    <row r="1686" spans="1:19" x14ac:dyDescent="0.2">
      <c r="A1686" s="1402"/>
      <c r="B1686" s="1405"/>
      <c r="C1686" s="1407"/>
      <c r="D1686" s="1405"/>
      <c r="E1686" s="1405"/>
      <c r="F1686" s="1405"/>
      <c r="G1686" s="1405"/>
      <c r="H1686" s="1405"/>
      <c r="I1686" s="1405"/>
      <c r="J1686" s="1405"/>
      <c r="K1686" s="1405"/>
      <c r="L1686" s="1405"/>
      <c r="M1686" s="1405"/>
      <c r="S1686" s="1731"/>
    </row>
    <row r="1687" spans="1:19" x14ac:dyDescent="0.2">
      <c r="A1687" s="1402"/>
      <c r="B1687" s="1405"/>
      <c r="C1687" s="1407"/>
      <c r="D1687" s="1405"/>
      <c r="E1687" s="1405"/>
      <c r="F1687" s="1405"/>
      <c r="G1687" s="1405"/>
      <c r="H1687" s="1405"/>
      <c r="I1687" s="1405"/>
      <c r="J1687" s="1405"/>
      <c r="K1687" s="1405"/>
      <c r="L1687" s="1405"/>
      <c r="M1687" s="1405"/>
      <c r="S1687" s="1731"/>
    </row>
    <row r="1688" spans="1:19" x14ac:dyDescent="0.2">
      <c r="A1688" s="1402"/>
      <c r="B1688" s="1405"/>
      <c r="C1688" s="1407"/>
      <c r="D1688" s="1405"/>
      <c r="E1688" s="1405"/>
      <c r="F1688" s="1405"/>
      <c r="G1688" s="1405"/>
      <c r="H1688" s="1405"/>
      <c r="I1688" s="1405"/>
      <c r="J1688" s="1405"/>
      <c r="K1688" s="1405"/>
      <c r="L1688" s="1405"/>
      <c r="M1688" s="1405"/>
      <c r="S1688" s="1731"/>
    </row>
    <row r="1689" spans="1:19" x14ac:dyDescent="0.2">
      <c r="A1689" s="1402"/>
      <c r="B1689" s="1405"/>
      <c r="C1689" s="1407"/>
      <c r="D1689" s="1405"/>
      <c r="E1689" s="1405"/>
      <c r="F1689" s="1405"/>
      <c r="G1689" s="1405"/>
      <c r="H1689" s="1405"/>
      <c r="I1689" s="1405"/>
      <c r="J1689" s="1405"/>
      <c r="K1689" s="1405"/>
      <c r="L1689" s="1405"/>
      <c r="M1689" s="1405"/>
      <c r="S1689" s="1731"/>
    </row>
    <row r="1690" spans="1:19" x14ac:dyDescent="0.2">
      <c r="A1690" s="1402"/>
      <c r="B1690" s="1405"/>
      <c r="C1690" s="1407"/>
      <c r="D1690" s="1405"/>
      <c r="E1690" s="1405"/>
      <c r="F1690" s="1405"/>
      <c r="G1690" s="1405"/>
      <c r="H1690" s="1405"/>
      <c r="I1690" s="1405"/>
      <c r="J1690" s="1405"/>
      <c r="K1690" s="1405"/>
      <c r="L1690" s="1405"/>
      <c r="M1690" s="1405"/>
      <c r="S1690" s="1731"/>
    </row>
    <row r="1691" spans="1:19" x14ac:dyDescent="0.2">
      <c r="A1691" s="1402"/>
      <c r="B1691" s="1405"/>
      <c r="C1691" s="1407"/>
      <c r="D1691" s="1405"/>
      <c r="E1691" s="1405"/>
      <c r="F1691" s="1405"/>
      <c r="G1691" s="1405"/>
      <c r="H1691" s="1405"/>
      <c r="I1691" s="1405"/>
      <c r="J1691" s="1405"/>
      <c r="K1691" s="1405"/>
      <c r="L1691" s="1405"/>
      <c r="M1691" s="1405"/>
      <c r="S1691" s="1731"/>
    </row>
    <row r="1692" spans="1:19" x14ac:dyDescent="0.2">
      <c r="A1692" s="1402"/>
      <c r="B1692" s="1405"/>
      <c r="C1692" s="1407"/>
      <c r="D1692" s="1405"/>
      <c r="E1692" s="1405"/>
      <c r="F1692" s="1405"/>
      <c r="G1692" s="1405"/>
      <c r="H1692" s="1405"/>
      <c r="I1692" s="1405"/>
      <c r="J1692" s="1405"/>
      <c r="K1692" s="1405"/>
      <c r="L1692" s="1405"/>
      <c r="M1692" s="1405"/>
      <c r="S1692" s="1731"/>
    </row>
    <row r="1693" spans="1:19" x14ac:dyDescent="0.2">
      <c r="A1693" s="1402"/>
      <c r="B1693" s="1405"/>
      <c r="C1693" s="1407"/>
      <c r="D1693" s="1405"/>
      <c r="E1693" s="1405"/>
      <c r="F1693" s="1405"/>
      <c r="G1693" s="1405"/>
      <c r="H1693" s="1405"/>
      <c r="I1693" s="1405"/>
      <c r="J1693" s="1405"/>
      <c r="K1693" s="1405"/>
      <c r="L1693" s="1405"/>
      <c r="M1693" s="1405"/>
      <c r="S1693" s="1731"/>
    </row>
    <row r="1694" spans="1:19" x14ac:dyDescent="0.2">
      <c r="A1694" s="1402"/>
      <c r="B1694" s="1405"/>
      <c r="C1694" s="1407"/>
      <c r="D1694" s="1405"/>
      <c r="E1694" s="1405"/>
      <c r="F1694" s="1405"/>
      <c r="G1694" s="1405"/>
      <c r="H1694" s="1405"/>
      <c r="I1694" s="1405"/>
      <c r="J1694" s="1405"/>
      <c r="K1694" s="1405"/>
      <c r="L1694" s="1405"/>
      <c r="M1694" s="1405"/>
      <c r="S1694" s="1731"/>
    </row>
    <row r="1695" spans="1:19" x14ac:dyDescent="0.2">
      <c r="A1695" s="1402"/>
      <c r="B1695" s="1405"/>
      <c r="C1695" s="1407"/>
      <c r="D1695" s="1405"/>
      <c r="E1695" s="1405"/>
      <c r="F1695" s="1405"/>
      <c r="G1695" s="1405"/>
      <c r="H1695" s="1405"/>
      <c r="I1695" s="1405"/>
      <c r="J1695" s="1405"/>
      <c r="K1695" s="1405"/>
      <c r="L1695" s="1405"/>
      <c r="M1695" s="1405"/>
      <c r="S1695" s="1731"/>
    </row>
    <row r="1696" spans="1:19" x14ac:dyDescent="0.2">
      <c r="A1696" s="1402"/>
      <c r="B1696" s="1405"/>
      <c r="C1696" s="1407"/>
      <c r="D1696" s="1405"/>
      <c r="E1696" s="1405"/>
      <c r="F1696" s="1405"/>
      <c r="G1696" s="1405"/>
      <c r="H1696" s="1405"/>
      <c r="I1696" s="1405"/>
      <c r="J1696" s="1405"/>
      <c r="K1696" s="1405"/>
      <c r="L1696" s="1405"/>
      <c r="M1696" s="1405"/>
      <c r="S1696" s="1731"/>
    </row>
    <row r="1697" spans="1:19" x14ac:dyDescent="0.2">
      <c r="A1697" s="1402"/>
      <c r="B1697" s="1405"/>
      <c r="C1697" s="1407"/>
      <c r="D1697" s="1405"/>
      <c r="E1697" s="1405"/>
      <c r="F1697" s="1405"/>
      <c r="G1697" s="1405"/>
      <c r="H1697" s="1405"/>
      <c r="I1697" s="1405"/>
      <c r="J1697" s="1405"/>
      <c r="K1697" s="1405"/>
      <c r="L1697" s="1405"/>
      <c r="M1697" s="1405"/>
      <c r="S1697" s="1731"/>
    </row>
    <row r="1698" spans="1:19" x14ac:dyDescent="0.2">
      <c r="A1698" s="1402"/>
      <c r="B1698" s="1405"/>
      <c r="C1698" s="1407"/>
      <c r="D1698" s="1405"/>
      <c r="E1698" s="1405"/>
      <c r="F1698" s="1405"/>
      <c r="G1698" s="1405"/>
      <c r="H1698" s="1405"/>
      <c r="I1698" s="1405"/>
      <c r="J1698" s="1405"/>
      <c r="K1698" s="1405"/>
      <c r="L1698" s="1405"/>
      <c r="M1698" s="1405"/>
      <c r="S1698" s="1731"/>
    </row>
    <row r="1699" spans="1:19" x14ac:dyDescent="0.2">
      <c r="A1699" s="1402"/>
      <c r="B1699" s="1405"/>
      <c r="C1699" s="1407"/>
      <c r="D1699" s="1405"/>
      <c r="E1699" s="1405"/>
      <c r="F1699" s="1405"/>
      <c r="G1699" s="1405"/>
      <c r="H1699" s="1405"/>
      <c r="I1699" s="1405"/>
      <c r="J1699" s="1405"/>
      <c r="K1699" s="1405"/>
      <c r="L1699" s="1405"/>
      <c r="M1699" s="1405"/>
      <c r="S1699" s="1731"/>
    </row>
    <row r="1700" spans="1:19" x14ac:dyDescent="0.2">
      <c r="A1700" s="1402"/>
      <c r="B1700" s="1405"/>
      <c r="C1700" s="1407"/>
      <c r="D1700" s="1405"/>
      <c r="E1700" s="1405"/>
      <c r="F1700" s="1405"/>
      <c r="G1700" s="1405"/>
      <c r="H1700" s="1405"/>
      <c r="I1700" s="1405"/>
      <c r="J1700" s="1405"/>
      <c r="K1700" s="1405"/>
      <c r="L1700" s="1405"/>
      <c r="M1700" s="1405"/>
      <c r="S1700" s="1731"/>
    </row>
    <row r="1701" spans="1:19" x14ac:dyDescent="0.2">
      <c r="A1701" s="1402"/>
      <c r="B1701" s="1405"/>
      <c r="C1701" s="1407"/>
      <c r="D1701" s="1405"/>
      <c r="E1701" s="1405"/>
      <c r="F1701" s="1405"/>
      <c r="G1701" s="1405"/>
      <c r="H1701" s="1405"/>
      <c r="I1701" s="1405"/>
      <c r="J1701" s="1405"/>
      <c r="K1701" s="1405"/>
      <c r="L1701" s="1405"/>
      <c r="M1701" s="1405"/>
      <c r="S1701" s="1731"/>
    </row>
    <row r="1702" spans="1:19" x14ac:dyDescent="0.2">
      <c r="A1702" s="1402"/>
      <c r="B1702" s="1405"/>
      <c r="C1702" s="1407"/>
      <c r="D1702" s="1405"/>
      <c r="E1702" s="1405"/>
      <c r="F1702" s="1405"/>
      <c r="G1702" s="1405"/>
      <c r="H1702" s="1405"/>
      <c r="I1702" s="1405"/>
      <c r="J1702" s="1405"/>
      <c r="K1702" s="1405"/>
      <c r="L1702" s="1405"/>
      <c r="M1702" s="1405"/>
      <c r="S1702" s="1731"/>
    </row>
    <row r="1703" spans="1:19" x14ac:dyDescent="0.2">
      <c r="A1703" s="1402"/>
      <c r="B1703" s="1405"/>
      <c r="C1703" s="1407"/>
      <c r="D1703" s="1405"/>
      <c r="E1703" s="1405"/>
      <c r="F1703" s="1405"/>
      <c r="G1703" s="1405"/>
      <c r="H1703" s="1405"/>
      <c r="I1703" s="1405"/>
      <c r="J1703" s="1405"/>
      <c r="K1703" s="1405"/>
      <c r="L1703" s="1405"/>
      <c r="M1703" s="1405"/>
      <c r="S1703" s="1731"/>
    </row>
    <row r="1704" spans="1:19" x14ac:dyDescent="0.2">
      <c r="A1704" s="1402"/>
      <c r="B1704" s="1405"/>
      <c r="C1704" s="1407"/>
      <c r="D1704" s="1405"/>
      <c r="E1704" s="1405"/>
      <c r="F1704" s="1405"/>
      <c r="G1704" s="1405"/>
      <c r="H1704" s="1405"/>
      <c r="I1704" s="1405"/>
      <c r="J1704" s="1405"/>
      <c r="K1704" s="1405"/>
      <c r="L1704" s="1405"/>
      <c r="M1704" s="1405"/>
      <c r="S1704" s="1731"/>
    </row>
    <row r="1705" spans="1:19" x14ac:dyDescent="0.2">
      <c r="A1705" s="1402"/>
      <c r="B1705" s="1405"/>
      <c r="C1705" s="1407"/>
      <c r="D1705" s="1405"/>
      <c r="E1705" s="1405"/>
      <c r="F1705" s="1405"/>
      <c r="G1705" s="1405"/>
      <c r="H1705" s="1405"/>
      <c r="I1705" s="1405"/>
      <c r="J1705" s="1405"/>
      <c r="K1705" s="1405"/>
      <c r="L1705" s="1405"/>
      <c r="M1705" s="1405"/>
      <c r="S1705" s="1731"/>
    </row>
    <row r="1706" spans="1:19" x14ac:dyDescent="0.2">
      <c r="A1706" s="1402"/>
      <c r="B1706" s="1405"/>
      <c r="C1706" s="1407"/>
      <c r="D1706" s="1405"/>
      <c r="E1706" s="1405"/>
      <c r="F1706" s="1405"/>
      <c r="G1706" s="1405"/>
      <c r="H1706" s="1405"/>
      <c r="I1706" s="1405"/>
      <c r="J1706" s="1405"/>
      <c r="K1706" s="1405"/>
      <c r="L1706" s="1405"/>
      <c r="M1706" s="1405"/>
      <c r="S1706" s="1731"/>
    </row>
    <row r="1707" spans="1:19" x14ac:dyDescent="0.2">
      <c r="A1707" s="1402"/>
      <c r="B1707" s="1405"/>
      <c r="C1707" s="1407"/>
      <c r="D1707" s="1405"/>
      <c r="E1707" s="1405"/>
      <c r="F1707" s="1405"/>
      <c r="G1707" s="1405"/>
      <c r="H1707" s="1405"/>
      <c r="I1707" s="1405"/>
      <c r="J1707" s="1405"/>
      <c r="K1707" s="1405"/>
      <c r="L1707" s="1405"/>
      <c r="M1707" s="1405"/>
      <c r="S1707" s="1731"/>
    </row>
    <row r="1708" spans="1:19" x14ac:dyDescent="0.2">
      <c r="A1708" s="1402"/>
      <c r="B1708" s="1405"/>
      <c r="C1708" s="1407"/>
      <c r="D1708" s="1405"/>
      <c r="E1708" s="1405"/>
      <c r="F1708" s="1405"/>
      <c r="G1708" s="1405"/>
      <c r="H1708" s="1405"/>
      <c r="I1708" s="1405"/>
      <c r="J1708" s="1405"/>
      <c r="K1708" s="1405"/>
      <c r="L1708" s="1405"/>
      <c r="M1708" s="1405"/>
      <c r="S1708" s="1731"/>
    </row>
    <row r="1709" spans="1:19" x14ac:dyDescent="0.2">
      <c r="A1709" s="1402"/>
      <c r="B1709" s="1405"/>
      <c r="C1709" s="1407"/>
      <c r="D1709" s="1405"/>
      <c r="E1709" s="1405"/>
      <c r="F1709" s="1405"/>
      <c r="G1709" s="1405"/>
      <c r="H1709" s="1405"/>
      <c r="I1709" s="1405"/>
      <c r="J1709" s="1405"/>
      <c r="K1709" s="1405"/>
      <c r="L1709" s="1405"/>
      <c r="M1709" s="1405"/>
      <c r="S1709" s="1731"/>
    </row>
    <row r="1710" spans="1:19" x14ac:dyDescent="0.2">
      <c r="A1710" s="1402"/>
      <c r="B1710" s="1405"/>
      <c r="C1710" s="1407"/>
      <c r="D1710" s="1405"/>
      <c r="E1710" s="1405"/>
      <c r="F1710" s="1405"/>
      <c r="G1710" s="1405"/>
      <c r="H1710" s="1405"/>
      <c r="I1710" s="1405"/>
      <c r="J1710" s="1405"/>
      <c r="K1710" s="1405"/>
      <c r="L1710" s="1405"/>
      <c r="M1710" s="1405"/>
      <c r="S1710" s="1731"/>
    </row>
    <row r="1711" spans="1:19" x14ac:dyDescent="0.2">
      <c r="A1711" s="1402"/>
      <c r="B1711" s="1405"/>
      <c r="C1711" s="1407"/>
      <c r="D1711" s="1405"/>
      <c r="E1711" s="1405"/>
      <c r="F1711" s="1405"/>
      <c r="G1711" s="1405"/>
      <c r="H1711" s="1405"/>
      <c r="I1711" s="1405"/>
      <c r="J1711" s="1405"/>
      <c r="K1711" s="1405"/>
      <c r="L1711" s="1405"/>
      <c r="M1711" s="1405"/>
      <c r="S1711" s="1731"/>
    </row>
    <row r="1712" spans="1:19" x14ac:dyDescent="0.2">
      <c r="A1712" s="1402"/>
      <c r="B1712" s="1405"/>
      <c r="C1712" s="1407"/>
      <c r="D1712" s="1405"/>
      <c r="E1712" s="1405"/>
      <c r="F1712" s="1405"/>
      <c r="G1712" s="1405"/>
      <c r="H1712" s="1405"/>
      <c r="I1712" s="1405"/>
      <c r="J1712" s="1405"/>
      <c r="K1712" s="1405"/>
      <c r="L1712" s="1405"/>
      <c r="M1712" s="1405"/>
      <c r="S1712" s="1731"/>
    </row>
    <row r="1713" spans="1:19" x14ac:dyDescent="0.2">
      <c r="A1713" s="1402"/>
      <c r="B1713" s="1405"/>
      <c r="C1713" s="1407"/>
      <c r="D1713" s="1405"/>
      <c r="E1713" s="1405"/>
      <c r="F1713" s="1405"/>
      <c r="G1713" s="1405"/>
      <c r="H1713" s="1405"/>
      <c r="I1713" s="1405"/>
      <c r="J1713" s="1405"/>
      <c r="K1713" s="1405"/>
      <c r="L1713" s="1405"/>
      <c r="M1713" s="1405"/>
      <c r="S1713" s="1731"/>
    </row>
    <row r="1714" spans="1:19" x14ac:dyDescent="0.2">
      <c r="A1714" s="1402"/>
      <c r="B1714" s="1405"/>
      <c r="C1714" s="1407"/>
      <c r="D1714" s="1405"/>
      <c r="E1714" s="1405"/>
      <c r="F1714" s="1405"/>
      <c r="G1714" s="1405"/>
      <c r="H1714" s="1405"/>
      <c r="I1714" s="1405"/>
      <c r="J1714" s="1405"/>
      <c r="K1714" s="1405"/>
      <c r="L1714" s="1405"/>
      <c r="M1714" s="1405"/>
      <c r="S1714" s="1731"/>
    </row>
    <row r="1715" spans="1:19" x14ac:dyDescent="0.2">
      <c r="A1715" s="1402"/>
      <c r="B1715" s="1405"/>
      <c r="C1715" s="1407"/>
      <c r="D1715" s="1405"/>
      <c r="E1715" s="1405"/>
      <c r="F1715" s="1405"/>
      <c r="G1715" s="1405"/>
      <c r="H1715" s="1405"/>
      <c r="I1715" s="1405"/>
      <c r="J1715" s="1405"/>
      <c r="K1715" s="1405"/>
      <c r="L1715" s="1405"/>
      <c r="M1715" s="1405"/>
      <c r="S1715" s="1731"/>
    </row>
    <row r="1716" spans="1:19" x14ac:dyDescent="0.2">
      <c r="A1716" s="1402"/>
      <c r="B1716" s="1405"/>
      <c r="C1716" s="1407"/>
      <c r="D1716" s="1405"/>
      <c r="E1716" s="1405"/>
      <c r="F1716" s="1405"/>
      <c r="G1716" s="1405"/>
      <c r="H1716" s="1405"/>
      <c r="I1716" s="1405"/>
      <c r="J1716" s="1405"/>
      <c r="K1716" s="1405"/>
      <c r="L1716" s="1405"/>
      <c r="M1716" s="1405"/>
      <c r="S1716" s="1731"/>
    </row>
    <row r="1717" spans="1:19" x14ac:dyDescent="0.2">
      <c r="A1717" s="1402"/>
      <c r="B1717" s="1405"/>
      <c r="C1717" s="1407"/>
      <c r="D1717" s="1405"/>
      <c r="E1717" s="1405"/>
      <c r="F1717" s="1405"/>
      <c r="G1717" s="1405"/>
      <c r="H1717" s="1405"/>
      <c r="I1717" s="1405"/>
      <c r="J1717" s="1405"/>
      <c r="K1717" s="1405"/>
      <c r="L1717" s="1405"/>
      <c r="M1717" s="1405"/>
      <c r="S1717" s="1731"/>
    </row>
    <row r="1718" spans="1:19" x14ac:dyDescent="0.2">
      <c r="A1718" s="1402"/>
      <c r="B1718" s="1405"/>
      <c r="C1718" s="1407"/>
      <c r="D1718" s="1405"/>
      <c r="E1718" s="1405"/>
      <c r="F1718" s="1405"/>
      <c r="G1718" s="1405"/>
      <c r="H1718" s="1405"/>
      <c r="I1718" s="1405"/>
      <c r="J1718" s="1405"/>
      <c r="K1718" s="1405"/>
      <c r="L1718" s="1405"/>
      <c r="M1718" s="1405"/>
      <c r="S1718" s="1731"/>
    </row>
    <row r="1719" spans="1:19" x14ac:dyDescent="0.2">
      <c r="A1719" s="1402"/>
      <c r="B1719" s="1405"/>
      <c r="C1719" s="1407"/>
      <c r="D1719" s="1405"/>
      <c r="E1719" s="1405"/>
      <c r="F1719" s="1405"/>
      <c r="G1719" s="1405"/>
      <c r="H1719" s="1405"/>
      <c r="I1719" s="1405"/>
      <c r="J1719" s="1405"/>
      <c r="K1719" s="1405"/>
      <c r="L1719" s="1405"/>
      <c r="M1719" s="1405"/>
      <c r="S1719" s="1731"/>
    </row>
    <row r="1720" spans="1:19" x14ac:dyDescent="0.2">
      <c r="A1720" s="1402"/>
      <c r="B1720" s="1405"/>
      <c r="C1720" s="1407"/>
      <c r="D1720" s="1405"/>
      <c r="E1720" s="1405"/>
      <c r="F1720" s="1405"/>
      <c r="G1720" s="1405"/>
      <c r="H1720" s="1405"/>
      <c r="I1720" s="1405"/>
      <c r="J1720" s="1405"/>
      <c r="K1720" s="1405"/>
      <c r="L1720" s="1405"/>
      <c r="M1720" s="1405"/>
      <c r="S1720" s="1731"/>
    </row>
    <row r="1721" spans="1:19" x14ac:dyDescent="0.2">
      <c r="A1721" s="1402"/>
      <c r="B1721" s="1405"/>
      <c r="C1721" s="1407"/>
      <c r="D1721" s="1405"/>
      <c r="E1721" s="1405"/>
      <c r="F1721" s="1405"/>
      <c r="G1721" s="1405"/>
      <c r="H1721" s="1405"/>
      <c r="I1721" s="1405"/>
      <c r="J1721" s="1405"/>
      <c r="K1721" s="1405"/>
      <c r="L1721" s="1405"/>
      <c r="M1721" s="1405"/>
      <c r="S1721" s="1731"/>
    </row>
    <row r="1722" spans="1:19" x14ac:dyDescent="0.2">
      <c r="A1722" s="1402"/>
      <c r="B1722" s="1405"/>
      <c r="C1722" s="1407"/>
      <c r="D1722" s="1405"/>
      <c r="E1722" s="1405"/>
      <c r="F1722" s="1405"/>
      <c r="G1722" s="1405"/>
      <c r="H1722" s="1405"/>
      <c r="I1722" s="1405"/>
      <c r="J1722" s="1405"/>
      <c r="K1722" s="1405"/>
      <c r="L1722" s="1405"/>
      <c r="M1722" s="1405"/>
      <c r="S1722" s="1731"/>
    </row>
    <row r="1723" spans="1:19" x14ac:dyDescent="0.2">
      <c r="A1723" s="1402"/>
      <c r="B1723" s="1405"/>
      <c r="C1723" s="1407"/>
      <c r="D1723" s="1405"/>
      <c r="E1723" s="1405"/>
      <c r="F1723" s="1405"/>
      <c r="G1723" s="1405"/>
      <c r="H1723" s="1405"/>
      <c r="I1723" s="1405"/>
      <c r="J1723" s="1405"/>
      <c r="K1723" s="1405"/>
      <c r="L1723" s="1405"/>
      <c r="M1723" s="1405"/>
      <c r="S1723" s="1731"/>
    </row>
    <row r="1724" spans="1:19" x14ac:dyDescent="0.2">
      <c r="A1724" s="1402"/>
      <c r="B1724" s="1405"/>
      <c r="C1724" s="1407"/>
      <c r="D1724" s="1405"/>
      <c r="E1724" s="1405"/>
      <c r="F1724" s="1405"/>
      <c r="G1724" s="1405"/>
      <c r="H1724" s="1405"/>
      <c r="I1724" s="1405"/>
      <c r="J1724" s="1405"/>
      <c r="K1724" s="1405"/>
      <c r="L1724" s="1405"/>
      <c r="M1724" s="1405"/>
      <c r="S1724" s="1731"/>
    </row>
    <row r="1725" spans="1:19" x14ac:dyDescent="0.2">
      <c r="A1725" s="1402"/>
      <c r="B1725" s="1405"/>
      <c r="C1725" s="1407"/>
      <c r="D1725" s="1405"/>
      <c r="E1725" s="1405"/>
      <c r="F1725" s="1405"/>
      <c r="G1725" s="1405"/>
      <c r="H1725" s="1405"/>
      <c r="I1725" s="1405"/>
      <c r="J1725" s="1405"/>
      <c r="K1725" s="1405"/>
      <c r="L1725" s="1405"/>
      <c r="M1725" s="1405"/>
      <c r="S1725" s="1731"/>
    </row>
    <row r="1726" spans="1:19" x14ac:dyDescent="0.2">
      <c r="A1726" s="1402"/>
      <c r="B1726" s="1405"/>
      <c r="C1726" s="1407"/>
      <c r="D1726" s="1405"/>
      <c r="E1726" s="1405"/>
      <c r="F1726" s="1405"/>
      <c r="G1726" s="1405"/>
      <c r="H1726" s="1405"/>
      <c r="I1726" s="1405"/>
      <c r="J1726" s="1405"/>
      <c r="K1726" s="1405"/>
      <c r="L1726" s="1405"/>
      <c r="M1726" s="1405"/>
      <c r="S1726" s="1731"/>
    </row>
    <row r="1727" spans="1:19" x14ac:dyDescent="0.2">
      <c r="A1727" s="1402"/>
      <c r="B1727" s="1405"/>
      <c r="C1727" s="1407"/>
      <c r="D1727" s="1405"/>
      <c r="E1727" s="1405"/>
      <c r="F1727" s="1405"/>
      <c r="G1727" s="1405"/>
      <c r="H1727" s="1405"/>
      <c r="I1727" s="1405"/>
      <c r="J1727" s="1405"/>
      <c r="K1727" s="1405"/>
      <c r="L1727" s="1405"/>
      <c r="M1727" s="1405"/>
      <c r="S1727" s="1731"/>
    </row>
    <row r="1728" spans="1:19" x14ac:dyDescent="0.2">
      <c r="A1728" s="1402"/>
      <c r="B1728" s="1405"/>
      <c r="C1728" s="1407"/>
      <c r="D1728" s="1405"/>
      <c r="E1728" s="1405"/>
      <c r="F1728" s="1405"/>
      <c r="G1728" s="1405"/>
      <c r="H1728" s="1405"/>
      <c r="I1728" s="1405"/>
      <c r="J1728" s="1405"/>
      <c r="K1728" s="1405"/>
      <c r="L1728" s="1405"/>
      <c r="M1728" s="1405"/>
      <c r="S1728" s="1731"/>
    </row>
    <row r="1729" spans="1:19" x14ac:dyDescent="0.2">
      <c r="A1729" s="1402"/>
      <c r="B1729" s="1405"/>
      <c r="C1729" s="1407"/>
      <c r="D1729" s="1405"/>
      <c r="E1729" s="1405"/>
      <c r="F1729" s="1405"/>
      <c r="G1729" s="1405"/>
      <c r="H1729" s="1405"/>
      <c r="I1729" s="1405"/>
      <c r="J1729" s="1405"/>
      <c r="K1729" s="1405"/>
      <c r="L1729" s="1405"/>
      <c r="M1729" s="1405"/>
      <c r="S1729" s="1731"/>
    </row>
    <row r="1730" spans="1:19" x14ac:dyDescent="0.2">
      <c r="A1730" s="1402"/>
      <c r="B1730" s="1405"/>
      <c r="C1730" s="1407"/>
      <c r="D1730" s="1405"/>
      <c r="E1730" s="1405"/>
      <c r="F1730" s="1405"/>
      <c r="G1730" s="1405"/>
      <c r="H1730" s="1405"/>
      <c r="I1730" s="1405"/>
      <c r="J1730" s="1405"/>
      <c r="K1730" s="1405"/>
      <c r="L1730" s="1405"/>
      <c r="M1730" s="1405"/>
      <c r="S1730" s="1731"/>
    </row>
    <row r="1731" spans="1:19" x14ac:dyDescent="0.2">
      <c r="A1731" s="1402"/>
      <c r="B1731" s="1405"/>
      <c r="C1731" s="1407"/>
      <c r="D1731" s="1405"/>
      <c r="E1731" s="1405"/>
      <c r="F1731" s="1405"/>
      <c r="G1731" s="1405"/>
      <c r="H1731" s="1405"/>
      <c r="I1731" s="1405"/>
      <c r="J1731" s="1405"/>
      <c r="K1731" s="1405"/>
      <c r="L1731" s="1405"/>
      <c r="M1731" s="1405"/>
      <c r="S1731" s="1731"/>
    </row>
    <row r="1732" spans="1:19" x14ac:dyDescent="0.2">
      <c r="A1732" s="1402"/>
      <c r="B1732" s="1405"/>
      <c r="C1732" s="1407"/>
      <c r="D1732" s="1405"/>
      <c r="E1732" s="1405"/>
      <c r="F1732" s="1405"/>
      <c r="G1732" s="1405"/>
      <c r="H1732" s="1405"/>
      <c r="I1732" s="1405"/>
      <c r="J1732" s="1405"/>
      <c r="K1732" s="1405"/>
      <c r="L1732" s="1405"/>
      <c r="M1732" s="1405"/>
      <c r="S1732" s="1731"/>
    </row>
    <row r="1733" spans="1:19" x14ac:dyDescent="0.2">
      <c r="A1733" s="1402"/>
      <c r="B1733" s="1405"/>
      <c r="C1733" s="1407"/>
      <c r="D1733" s="1405"/>
      <c r="E1733" s="1405"/>
      <c r="F1733" s="1405"/>
      <c r="G1733" s="1405"/>
      <c r="H1733" s="1405"/>
      <c r="I1733" s="1405"/>
      <c r="J1733" s="1405"/>
      <c r="K1733" s="1405"/>
      <c r="L1733" s="1405"/>
      <c r="M1733" s="1405"/>
      <c r="S1733" s="1731"/>
    </row>
    <row r="1734" spans="1:19" x14ac:dyDescent="0.2">
      <c r="A1734" s="1402"/>
      <c r="B1734" s="1405"/>
      <c r="C1734" s="1407"/>
      <c r="D1734" s="1405"/>
      <c r="E1734" s="1405"/>
      <c r="F1734" s="1405"/>
      <c r="G1734" s="1405"/>
      <c r="H1734" s="1405"/>
      <c r="I1734" s="1405"/>
      <c r="J1734" s="1405"/>
      <c r="K1734" s="1405"/>
      <c r="L1734" s="1405"/>
      <c r="M1734" s="1405"/>
      <c r="S1734" s="1731"/>
    </row>
    <row r="1735" spans="1:19" x14ac:dyDescent="0.2">
      <c r="A1735" s="1402"/>
      <c r="B1735" s="1405"/>
      <c r="C1735" s="1407"/>
      <c r="D1735" s="1405"/>
      <c r="E1735" s="1405"/>
      <c r="F1735" s="1405"/>
      <c r="G1735" s="1405"/>
      <c r="H1735" s="1405"/>
      <c r="I1735" s="1405"/>
      <c r="J1735" s="1405"/>
      <c r="K1735" s="1405"/>
      <c r="L1735" s="1405"/>
      <c r="M1735" s="1405"/>
      <c r="S1735" s="1731"/>
    </row>
    <row r="1736" spans="1:19" x14ac:dyDescent="0.2">
      <c r="A1736" s="1402"/>
      <c r="B1736" s="1405"/>
      <c r="C1736" s="1407"/>
      <c r="D1736" s="1405"/>
      <c r="E1736" s="1405"/>
      <c r="F1736" s="1405"/>
      <c r="G1736" s="1405"/>
      <c r="H1736" s="1405"/>
      <c r="I1736" s="1405"/>
      <c r="J1736" s="1405"/>
      <c r="K1736" s="1405"/>
      <c r="L1736" s="1405"/>
      <c r="M1736" s="1405"/>
      <c r="S1736" s="1731"/>
    </row>
    <row r="1737" spans="1:19" x14ac:dyDescent="0.2">
      <c r="A1737" s="1402"/>
      <c r="B1737" s="1405"/>
      <c r="C1737" s="1407"/>
      <c r="D1737" s="1405"/>
      <c r="E1737" s="1405"/>
      <c r="F1737" s="1405"/>
      <c r="G1737" s="1405"/>
      <c r="H1737" s="1405"/>
      <c r="I1737" s="1405"/>
      <c r="J1737" s="1405"/>
      <c r="K1737" s="1405"/>
      <c r="L1737" s="1405"/>
      <c r="M1737" s="1405"/>
      <c r="S1737" s="1731"/>
    </row>
    <row r="1738" spans="1:19" x14ac:dyDescent="0.2">
      <c r="A1738" s="1402"/>
      <c r="B1738" s="1405"/>
      <c r="C1738" s="1407"/>
      <c r="D1738" s="1405"/>
      <c r="E1738" s="1405"/>
      <c r="F1738" s="1405"/>
      <c r="G1738" s="1405"/>
      <c r="H1738" s="1405"/>
      <c r="I1738" s="1405"/>
      <c r="J1738" s="1405"/>
      <c r="K1738" s="1405"/>
      <c r="L1738" s="1405"/>
      <c r="M1738" s="1405"/>
      <c r="S1738" s="1731"/>
    </row>
    <row r="1739" spans="1:19" x14ac:dyDescent="0.2">
      <c r="A1739" s="1402"/>
      <c r="B1739" s="1405"/>
      <c r="C1739" s="1407"/>
      <c r="D1739" s="1405"/>
      <c r="E1739" s="1405"/>
      <c r="F1739" s="1405"/>
      <c r="G1739" s="1405"/>
      <c r="H1739" s="1405"/>
      <c r="I1739" s="1405"/>
      <c r="J1739" s="1405"/>
      <c r="K1739" s="1405"/>
      <c r="L1739" s="1405"/>
      <c r="M1739" s="1405"/>
      <c r="S1739" s="1731"/>
    </row>
    <row r="1740" spans="1:19" x14ac:dyDescent="0.2">
      <c r="A1740" s="1402"/>
      <c r="B1740" s="1405"/>
      <c r="C1740" s="1407"/>
      <c r="D1740" s="1405"/>
      <c r="E1740" s="1405"/>
      <c r="F1740" s="1405"/>
      <c r="G1740" s="1405"/>
      <c r="H1740" s="1405"/>
      <c r="I1740" s="1405"/>
      <c r="J1740" s="1405"/>
      <c r="K1740" s="1405"/>
      <c r="L1740" s="1405"/>
      <c r="M1740" s="1405"/>
      <c r="S1740" s="1731"/>
    </row>
    <row r="1741" spans="1:19" x14ac:dyDescent="0.2">
      <c r="A1741" s="1402"/>
      <c r="B1741" s="1405"/>
      <c r="C1741" s="1407"/>
      <c r="D1741" s="1405"/>
      <c r="E1741" s="1405"/>
      <c r="F1741" s="1405"/>
      <c r="G1741" s="1405"/>
      <c r="H1741" s="1405"/>
      <c r="I1741" s="1405"/>
      <c r="J1741" s="1405"/>
      <c r="K1741" s="1405"/>
      <c r="L1741" s="1405"/>
      <c r="M1741" s="1405"/>
      <c r="S1741" s="1731"/>
    </row>
    <row r="1742" spans="1:19" x14ac:dyDescent="0.2">
      <c r="A1742" s="1402"/>
      <c r="B1742" s="1405"/>
      <c r="C1742" s="1407"/>
      <c r="D1742" s="1405"/>
      <c r="E1742" s="1405"/>
      <c r="F1742" s="1405"/>
      <c r="G1742" s="1405"/>
      <c r="H1742" s="1405"/>
      <c r="I1742" s="1405"/>
      <c r="J1742" s="1405"/>
      <c r="K1742" s="1405"/>
      <c r="L1742" s="1405"/>
      <c r="M1742" s="1405"/>
      <c r="S1742" s="1731"/>
    </row>
    <row r="1743" spans="1:19" x14ac:dyDescent="0.2">
      <c r="A1743" s="1402"/>
      <c r="B1743" s="1405"/>
      <c r="C1743" s="1407"/>
      <c r="D1743" s="1405"/>
      <c r="E1743" s="1405"/>
      <c r="F1743" s="1405"/>
      <c r="G1743" s="1405"/>
      <c r="H1743" s="1405"/>
      <c r="I1743" s="1405"/>
      <c r="J1743" s="1405"/>
      <c r="K1743" s="1405"/>
      <c r="L1743" s="1405"/>
      <c r="M1743" s="1405"/>
      <c r="S1743" s="1731"/>
    </row>
    <row r="1744" spans="1:19" x14ac:dyDescent="0.2">
      <c r="A1744" s="1402"/>
      <c r="B1744" s="1405"/>
      <c r="C1744" s="1407"/>
      <c r="D1744" s="1405"/>
      <c r="E1744" s="1405"/>
      <c r="F1744" s="1405"/>
      <c r="G1744" s="1405"/>
      <c r="H1744" s="1405"/>
      <c r="I1744" s="1405"/>
      <c r="J1744" s="1405"/>
      <c r="K1744" s="1405"/>
      <c r="L1744" s="1405"/>
      <c r="M1744" s="1405"/>
      <c r="S1744" s="1731"/>
    </row>
    <row r="1745" spans="1:19" x14ac:dyDescent="0.2">
      <c r="A1745" s="1402"/>
      <c r="B1745" s="1405"/>
      <c r="C1745" s="1407"/>
      <c r="D1745" s="1405"/>
      <c r="E1745" s="1405"/>
      <c r="F1745" s="1405"/>
      <c r="G1745" s="1405"/>
      <c r="H1745" s="1405"/>
      <c r="I1745" s="1405"/>
      <c r="J1745" s="1405"/>
      <c r="K1745" s="1405"/>
      <c r="L1745" s="1405"/>
      <c r="M1745" s="1405"/>
      <c r="S1745" s="1731"/>
    </row>
    <row r="1746" spans="1:19" x14ac:dyDescent="0.2">
      <c r="A1746" s="1402"/>
      <c r="B1746" s="1405"/>
      <c r="C1746" s="1407"/>
      <c r="D1746" s="1405"/>
      <c r="E1746" s="1405"/>
      <c r="F1746" s="1405"/>
      <c r="G1746" s="1405"/>
      <c r="H1746" s="1405"/>
      <c r="I1746" s="1405"/>
      <c r="J1746" s="1405"/>
      <c r="K1746" s="1405"/>
      <c r="L1746" s="1405"/>
      <c r="M1746" s="1405"/>
      <c r="S1746" s="1731"/>
    </row>
    <row r="1747" spans="1:19" x14ac:dyDescent="0.2">
      <c r="A1747" s="1402"/>
      <c r="B1747" s="1405"/>
      <c r="C1747" s="1407"/>
      <c r="D1747" s="1405"/>
      <c r="E1747" s="1405"/>
      <c r="F1747" s="1405"/>
      <c r="G1747" s="1405"/>
      <c r="H1747" s="1405"/>
      <c r="I1747" s="1405"/>
      <c r="J1747" s="1405"/>
      <c r="K1747" s="1405"/>
      <c r="L1747" s="1405"/>
      <c r="M1747" s="1405"/>
      <c r="S1747" s="1731"/>
    </row>
    <row r="1748" spans="1:19" x14ac:dyDescent="0.2">
      <c r="A1748" s="1402"/>
      <c r="B1748" s="1405"/>
      <c r="C1748" s="1407"/>
      <c r="D1748" s="1405"/>
      <c r="E1748" s="1405"/>
      <c r="F1748" s="1405"/>
      <c r="G1748" s="1405"/>
      <c r="H1748" s="1405"/>
      <c r="I1748" s="1405"/>
      <c r="J1748" s="1405"/>
      <c r="K1748" s="1405"/>
      <c r="L1748" s="1405"/>
      <c r="M1748" s="1405"/>
      <c r="S1748" s="1731"/>
    </row>
    <row r="1749" spans="1:19" x14ac:dyDescent="0.2">
      <c r="A1749" s="1402"/>
      <c r="B1749" s="1405"/>
      <c r="C1749" s="1407"/>
      <c r="D1749" s="1405"/>
      <c r="E1749" s="1405"/>
      <c r="F1749" s="1405"/>
      <c r="G1749" s="1405"/>
      <c r="H1749" s="1405"/>
      <c r="I1749" s="1405"/>
      <c r="J1749" s="1405"/>
      <c r="K1749" s="1405"/>
      <c r="L1749" s="1405"/>
      <c r="M1749" s="1405"/>
      <c r="S1749" s="1731"/>
    </row>
    <row r="1750" spans="1:19" x14ac:dyDescent="0.2">
      <c r="A1750" s="1402"/>
      <c r="B1750" s="1405"/>
      <c r="C1750" s="1407"/>
      <c r="D1750" s="1405"/>
      <c r="E1750" s="1405"/>
      <c r="F1750" s="1405"/>
      <c r="G1750" s="1405"/>
      <c r="H1750" s="1405"/>
      <c r="I1750" s="1405"/>
      <c r="J1750" s="1405"/>
      <c r="K1750" s="1405"/>
      <c r="L1750" s="1405"/>
      <c r="M1750" s="1405"/>
      <c r="S1750" s="1731"/>
    </row>
    <row r="1751" spans="1:19" x14ac:dyDescent="0.2">
      <c r="A1751" s="1402"/>
      <c r="B1751" s="1405"/>
      <c r="C1751" s="1407"/>
      <c r="D1751" s="1405"/>
      <c r="E1751" s="1405"/>
      <c r="F1751" s="1405"/>
      <c r="G1751" s="1405"/>
      <c r="H1751" s="1405"/>
      <c r="I1751" s="1405"/>
      <c r="J1751" s="1405"/>
      <c r="K1751" s="1405"/>
      <c r="L1751" s="1405"/>
      <c r="M1751" s="1405"/>
      <c r="S1751" s="1731"/>
    </row>
    <row r="1752" spans="1:19" x14ac:dyDescent="0.2">
      <c r="A1752" s="1402"/>
      <c r="B1752" s="1405"/>
      <c r="C1752" s="1407"/>
      <c r="D1752" s="1405"/>
      <c r="E1752" s="1405"/>
      <c r="F1752" s="1405"/>
      <c r="G1752" s="1405"/>
      <c r="H1752" s="1405"/>
      <c r="I1752" s="1405"/>
      <c r="J1752" s="1405"/>
      <c r="K1752" s="1405"/>
      <c r="L1752" s="1405"/>
      <c r="M1752" s="1405"/>
      <c r="S1752" s="1731"/>
    </row>
    <row r="1753" spans="1:19" x14ac:dyDescent="0.2">
      <c r="A1753" s="1402"/>
      <c r="B1753" s="1405"/>
      <c r="C1753" s="1407"/>
      <c r="D1753" s="1405"/>
      <c r="E1753" s="1405"/>
      <c r="F1753" s="1405"/>
      <c r="G1753" s="1405"/>
      <c r="H1753" s="1405"/>
      <c r="I1753" s="1405"/>
      <c r="J1753" s="1405"/>
      <c r="K1753" s="1405"/>
      <c r="L1753" s="1405"/>
      <c r="M1753" s="1405"/>
      <c r="S1753" s="1731"/>
    </row>
    <row r="1754" spans="1:19" x14ac:dyDescent="0.2">
      <c r="A1754" s="1402"/>
      <c r="B1754" s="1405"/>
      <c r="C1754" s="1407"/>
      <c r="D1754" s="1405"/>
      <c r="E1754" s="1405"/>
      <c r="F1754" s="1405"/>
      <c r="G1754" s="1405"/>
      <c r="H1754" s="1405"/>
      <c r="I1754" s="1405"/>
      <c r="J1754" s="1405"/>
      <c r="K1754" s="1405"/>
      <c r="L1754" s="1405"/>
      <c r="M1754" s="1405"/>
      <c r="S1754" s="1731"/>
    </row>
    <row r="1755" spans="1:19" x14ac:dyDescent="0.2">
      <c r="A1755" s="1402"/>
      <c r="B1755" s="1405"/>
      <c r="C1755" s="1407"/>
      <c r="D1755" s="1405"/>
      <c r="E1755" s="1405"/>
      <c r="F1755" s="1405"/>
      <c r="G1755" s="1405"/>
      <c r="H1755" s="1405"/>
      <c r="I1755" s="1405"/>
      <c r="J1755" s="1405"/>
      <c r="K1755" s="1405"/>
      <c r="L1755" s="1405"/>
      <c r="M1755" s="1405"/>
      <c r="S1755" s="1731"/>
    </row>
    <row r="1756" spans="1:19" x14ac:dyDescent="0.2">
      <c r="A1756" s="1402"/>
      <c r="B1756" s="1405"/>
      <c r="C1756" s="1407"/>
      <c r="D1756" s="1405"/>
      <c r="E1756" s="1405"/>
      <c r="F1756" s="1405"/>
      <c r="G1756" s="1405"/>
      <c r="H1756" s="1405"/>
      <c r="I1756" s="1405"/>
      <c r="J1756" s="1405"/>
      <c r="K1756" s="1405"/>
      <c r="L1756" s="1405"/>
      <c r="M1756" s="1405"/>
      <c r="S1756" s="1731"/>
    </row>
    <row r="1757" spans="1:19" x14ac:dyDescent="0.2">
      <c r="A1757" s="1402"/>
      <c r="B1757" s="1405"/>
      <c r="C1757" s="1407"/>
      <c r="D1757" s="1405"/>
      <c r="E1757" s="1405"/>
      <c r="F1757" s="1405"/>
      <c r="G1757" s="1405"/>
      <c r="H1757" s="1405"/>
      <c r="I1757" s="1405"/>
      <c r="J1757" s="1405"/>
      <c r="K1757" s="1405"/>
      <c r="L1757" s="1405"/>
      <c r="M1757" s="1405"/>
      <c r="S1757" s="1731"/>
    </row>
    <row r="1758" spans="1:19" x14ac:dyDescent="0.2">
      <c r="A1758" s="1402"/>
      <c r="B1758" s="1405"/>
      <c r="C1758" s="1407"/>
      <c r="D1758" s="1405"/>
      <c r="E1758" s="1405"/>
      <c r="F1758" s="1405"/>
      <c r="G1758" s="1405"/>
      <c r="H1758" s="1405"/>
      <c r="I1758" s="1405"/>
      <c r="J1758" s="1405"/>
      <c r="K1758" s="1405"/>
      <c r="L1758" s="1405"/>
      <c r="M1758" s="1405"/>
      <c r="S1758" s="1731"/>
    </row>
    <row r="1759" spans="1:19" x14ac:dyDescent="0.2">
      <c r="A1759" s="1402"/>
      <c r="B1759" s="1405"/>
      <c r="C1759" s="1407"/>
      <c r="D1759" s="1405"/>
      <c r="E1759" s="1405"/>
      <c r="F1759" s="1405"/>
      <c r="G1759" s="1405"/>
      <c r="H1759" s="1405"/>
      <c r="I1759" s="1405"/>
      <c r="J1759" s="1405"/>
      <c r="K1759" s="1405"/>
      <c r="L1759" s="1405"/>
      <c r="M1759" s="1405"/>
      <c r="S1759" s="1731"/>
    </row>
    <row r="1760" spans="1:19" x14ac:dyDescent="0.2">
      <c r="A1760" s="1402"/>
      <c r="B1760" s="1405"/>
      <c r="C1760" s="1407"/>
      <c r="D1760" s="1405"/>
      <c r="E1760" s="1405"/>
      <c r="F1760" s="1405"/>
      <c r="G1760" s="1405"/>
      <c r="H1760" s="1405"/>
      <c r="I1760" s="1405"/>
      <c r="J1760" s="1405"/>
      <c r="K1760" s="1405"/>
      <c r="L1760" s="1405"/>
      <c r="M1760" s="1405"/>
      <c r="S1760" s="1731"/>
    </row>
    <row r="1761" spans="1:19" x14ac:dyDescent="0.2">
      <c r="A1761" s="1402"/>
      <c r="B1761" s="1405"/>
      <c r="C1761" s="1407"/>
      <c r="D1761" s="1405"/>
      <c r="E1761" s="1405"/>
      <c r="F1761" s="1405"/>
      <c r="G1761" s="1405"/>
      <c r="H1761" s="1405"/>
      <c r="I1761" s="1405"/>
      <c r="J1761" s="1405"/>
      <c r="K1761" s="1405"/>
      <c r="L1761" s="1405"/>
      <c r="M1761" s="1405"/>
      <c r="S1761" s="1731"/>
    </row>
    <row r="1762" spans="1:19" x14ac:dyDescent="0.2">
      <c r="A1762" s="1402"/>
      <c r="B1762" s="1405"/>
      <c r="C1762" s="1407"/>
      <c r="D1762" s="1405"/>
      <c r="E1762" s="1405"/>
      <c r="F1762" s="1405"/>
      <c r="G1762" s="1405"/>
      <c r="H1762" s="1405"/>
      <c r="I1762" s="1405"/>
      <c r="J1762" s="1405"/>
      <c r="K1762" s="1405"/>
      <c r="L1762" s="1405"/>
      <c r="M1762" s="1405"/>
      <c r="S1762" s="1731"/>
    </row>
    <row r="1763" spans="1:19" x14ac:dyDescent="0.2">
      <c r="A1763" s="1402"/>
      <c r="B1763" s="1405"/>
      <c r="C1763" s="1407"/>
      <c r="D1763" s="1405"/>
      <c r="E1763" s="1405"/>
      <c r="F1763" s="1405"/>
      <c r="G1763" s="1405"/>
      <c r="H1763" s="1405"/>
      <c r="I1763" s="1405"/>
      <c r="J1763" s="1405"/>
      <c r="K1763" s="1405"/>
      <c r="L1763" s="1405"/>
      <c r="M1763" s="1405"/>
      <c r="S1763" s="1731"/>
    </row>
    <row r="1764" spans="1:19" x14ac:dyDescent="0.2">
      <c r="A1764" s="1402"/>
      <c r="B1764" s="1405"/>
      <c r="C1764" s="1407"/>
      <c r="D1764" s="1405"/>
      <c r="E1764" s="1405"/>
      <c r="F1764" s="1405"/>
      <c r="G1764" s="1405"/>
      <c r="H1764" s="1405"/>
      <c r="I1764" s="1405"/>
      <c r="J1764" s="1405"/>
      <c r="K1764" s="1405"/>
      <c r="L1764" s="1405"/>
      <c r="M1764" s="1405"/>
      <c r="S1764" s="1731"/>
    </row>
    <row r="1765" spans="1:19" x14ac:dyDescent="0.2">
      <c r="A1765" s="1402"/>
      <c r="B1765" s="1405"/>
      <c r="C1765" s="1407"/>
      <c r="D1765" s="1405"/>
      <c r="E1765" s="1405"/>
      <c r="F1765" s="1405"/>
      <c r="G1765" s="1405"/>
      <c r="H1765" s="1405"/>
      <c r="I1765" s="1405"/>
      <c r="J1765" s="1405"/>
      <c r="K1765" s="1405"/>
      <c r="L1765" s="1405"/>
      <c r="M1765" s="1405"/>
      <c r="S1765" s="1731"/>
    </row>
    <row r="1766" spans="1:19" x14ac:dyDescent="0.2">
      <c r="A1766" s="1402"/>
      <c r="B1766" s="1405"/>
      <c r="C1766" s="1407"/>
      <c r="D1766" s="1405"/>
      <c r="E1766" s="1405"/>
      <c r="F1766" s="1405"/>
      <c r="G1766" s="1405"/>
      <c r="H1766" s="1405"/>
      <c r="I1766" s="1405"/>
      <c r="J1766" s="1405"/>
      <c r="K1766" s="1405"/>
      <c r="L1766" s="1405"/>
      <c r="M1766" s="1405"/>
      <c r="S1766" s="1731"/>
    </row>
    <row r="1767" spans="1:19" x14ac:dyDescent="0.2">
      <c r="A1767" s="1402"/>
      <c r="B1767" s="1405"/>
      <c r="C1767" s="1407"/>
      <c r="D1767" s="1405"/>
      <c r="E1767" s="1405"/>
      <c r="F1767" s="1405"/>
      <c r="G1767" s="1405"/>
      <c r="H1767" s="1405"/>
      <c r="I1767" s="1405"/>
      <c r="J1767" s="1405"/>
      <c r="K1767" s="1405"/>
      <c r="L1767" s="1405"/>
      <c r="M1767" s="1405"/>
      <c r="S1767" s="1731"/>
    </row>
    <row r="1768" spans="1:19" x14ac:dyDescent="0.2">
      <c r="A1768" s="1402"/>
      <c r="B1768" s="1405"/>
      <c r="C1768" s="1407"/>
      <c r="D1768" s="1405"/>
      <c r="E1768" s="1405"/>
      <c r="F1768" s="1405"/>
      <c r="G1768" s="1405"/>
      <c r="H1768" s="1405"/>
      <c r="I1768" s="1405"/>
      <c r="J1768" s="1405"/>
      <c r="K1768" s="1405"/>
      <c r="L1768" s="1405"/>
      <c r="M1768" s="1405"/>
      <c r="S1768" s="1731"/>
    </row>
    <row r="1769" spans="1:19" x14ac:dyDescent="0.2">
      <c r="A1769" s="1402"/>
      <c r="B1769" s="1405"/>
      <c r="C1769" s="1407"/>
      <c r="D1769" s="1405"/>
      <c r="E1769" s="1405"/>
      <c r="F1769" s="1405"/>
      <c r="G1769" s="1405"/>
      <c r="H1769" s="1405"/>
      <c r="I1769" s="1405"/>
      <c r="J1769" s="1405"/>
      <c r="K1769" s="1405"/>
      <c r="L1769" s="1405"/>
      <c r="M1769" s="1405"/>
      <c r="S1769" s="1731"/>
    </row>
    <row r="1770" spans="1:19" x14ac:dyDescent="0.2">
      <c r="A1770" s="1402"/>
      <c r="B1770" s="1405"/>
      <c r="C1770" s="1407"/>
      <c r="D1770" s="1405"/>
      <c r="E1770" s="1405"/>
      <c r="F1770" s="1405"/>
      <c r="G1770" s="1405"/>
      <c r="H1770" s="1405"/>
      <c r="I1770" s="1405"/>
      <c r="J1770" s="1405"/>
      <c r="K1770" s="1405"/>
      <c r="L1770" s="1405"/>
      <c r="M1770" s="1405"/>
      <c r="S1770" s="1731"/>
    </row>
    <row r="1771" spans="1:19" x14ac:dyDescent="0.2">
      <c r="A1771" s="1402"/>
      <c r="B1771" s="1405"/>
      <c r="C1771" s="1407"/>
      <c r="D1771" s="1405"/>
      <c r="E1771" s="1405"/>
      <c r="F1771" s="1405"/>
      <c r="G1771" s="1405"/>
      <c r="H1771" s="1405"/>
      <c r="I1771" s="1405"/>
      <c r="J1771" s="1405"/>
      <c r="K1771" s="1405"/>
      <c r="L1771" s="1405"/>
      <c r="M1771" s="1405"/>
      <c r="S1771" s="1731"/>
    </row>
    <row r="1772" spans="1:19" x14ac:dyDescent="0.2">
      <c r="A1772" s="1402"/>
      <c r="B1772" s="1405"/>
      <c r="C1772" s="1407"/>
      <c r="D1772" s="1405"/>
      <c r="E1772" s="1405"/>
      <c r="F1772" s="1405"/>
      <c r="G1772" s="1405"/>
      <c r="H1772" s="1405"/>
      <c r="I1772" s="1405"/>
      <c r="J1772" s="1405"/>
      <c r="K1772" s="1405"/>
      <c r="L1772" s="1405"/>
      <c r="M1772" s="1405"/>
      <c r="S1772" s="1731"/>
    </row>
    <row r="1773" spans="1:19" x14ac:dyDescent="0.2">
      <c r="A1773" s="1402"/>
      <c r="B1773" s="1405"/>
      <c r="C1773" s="1407"/>
      <c r="D1773" s="1405"/>
      <c r="E1773" s="1405"/>
      <c r="F1773" s="1405"/>
      <c r="G1773" s="1405"/>
      <c r="H1773" s="1405"/>
      <c r="I1773" s="1405"/>
      <c r="J1773" s="1405"/>
      <c r="K1773" s="1405"/>
      <c r="L1773" s="1405"/>
      <c r="M1773" s="1405"/>
      <c r="S1773" s="1731"/>
    </row>
    <row r="1774" spans="1:19" x14ac:dyDescent="0.2">
      <c r="A1774" s="1402"/>
      <c r="B1774" s="1405"/>
      <c r="C1774" s="1407"/>
      <c r="D1774" s="1405"/>
      <c r="E1774" s="1405"/>
      <c r="F1774" s="1405"/>
      <c r="G1774" s="1405"/>
      <c r="H1774" s="1405"/>
      <c r="I1774" s="1405"/>
      <c r="J1774" s="1405"/>
      <c r="K1774" s="1405"/>
      <c r="L1774" s="1405"/>
      <c r="M1774" s="1405"/>
      <c r="S1774" s="1731"/>
    </row>
    <row r="1775" spans="1:19" x14ac:dyDescent="0.2">
      <c r="A1775" s="1402"/>
      <c r="B1775" s="1405"/>
      <c r="C1775" s="1407"/>
      <c r="D1775" s="1405"/>
      <c r="E1775" s="1405"/>
      <c r="F1775" s="1405"/>
      <c r="G1775" s="1405"/>
      <c r="H1775" s="1405"/>
      <c r="I1775" s="1405"/>
      <c r="J1775" s="1405"/>
      <c r="K1775" s="1405"/>
      <c r="L1775" s="1405"/>
      <c r="M1775" s="1405"/>
      <c r="S1775" s="1731"/>
    </row>
    <row r="1776" spans="1:19" x14ac:dyDescent="0.2">
      <c r="A1776" s="1402"/>
      <c r="B1776" s="1405"/>
      <c r="C1776" s="1407"/>
      <c r="D1776" s="1405"/>
      <c r="E1776" s="1405"/>
      <c r="F1776" s="1405"/>
      <c r="G1776" s="1405"/>
      <c r="H1776" s="1405"/>
      <c r="I1776" s="1405"/>
      <c r="J1776" s="1405"/>
      <c r="K1776" s="1405"/>
      <c r="L1776" s="1405"/>
      <c r="M1776" s="1405"/>
      <c r="S1776" s="1731"/>
    </row>
    <row r="1777" spans="1:19" x14ac:dyDescent="0.2">
      <c r="A1777" s="1402"/>
      <c r="B1777" s="1405"/>
      <c r="C1777" s="1407"/>
      <c r="D1777" s="1405"/>
      <c r="E1777" s="1405"/>
      <c r="F1777" s="1405"/>
      <c r="G1777" s="1405"/>
      <c r="H1777" s="1405"/>
      <c r="I1777" s="1405"/>
      <c r="J1777" s="1405"/>
      <c r="K1777" s="1405"/>
      <c r="L1777" s="1405"/>
      <c r="M1777" s="1405"/>
      <c r="S1777" s="1731"/>
    </row>
    <row r="1778" spans="1:19" x14ac:dyDescent="0.2">
      <c r="A1778" s="1402"/>
      <c r="B1778" s="1405"/>
      <c r="C1778" s="1407"/>
      <c r="D1778" s="1405"/>
      <c r="E1778" s="1405"/>
      <c r="F1778" s="1405"/>
      <c r="G1778" s="1405"/>
      <c r="H1778" s="1405"/>
      <c r="I1778" s="1405"/>
      <c r="J1778" s="1405"/>
      <c r="K1778" s="1405"/>
      <c r="L1778" s="1405"/>
      <c r="M1778" s="1405"/>
      <c r="S1778" s="1731"/>
    </row>
    <row r="1779" spans="1:19" x14ac:dyDescent="0.2">
      <c r="A1779" s="1402"/>
      <c r="B1779" s="1405"/>
      <c r="C1779" s="1407"/>
      <c r="D1779" s="1405"/>
      <c r="E1779" s="1405"/>
      <c r="F1779" s="1405"/>
      <c r="G1779" s="1405"/>
      <c r="H1779" s="1405"/>
      <c r="I1779" s="1405"/>
      <c r="J1779" s="1405"/>
      <c r="K1779" s="1405"/>
      <c r="L1779" s="1405"/>
      <c r="M1779" s="1405"/>
      <c r="S1779" s="1731"/>
    </row>
    <row r="1780" spans="1:19" x14ac:dyDescent="0.2">
      <c r="A1780" s="1402"/>
      <c r="B1780" s="1405"/>
      <c r="C1780" s="1407"/>
      <c r="D1780" s="1405"/>
      <c r="E1780" s="1405"/>
      <c r="F1780" s="1405"/>
      <c r="G1780" s="1405"/>
      <c r="H1780" s="1405"/>
      <c r="I1780" s="1405"/>
      <c r="J1780" s="1405"/>
      <c r="K1780" s="1405"/>
      <c r="L1780" s="1405"/>
      <c r="M1780" s="1405"/>
      <c r="S1780" s="1731"/>
    </row>
    <row r="1781" spans="1:19" x14ac:dyDescent="0.2">
      <c r="A1781" s="1402"/>
      <c r="B1781" s="1405"/>
      <c r="C1781" s="1407"/>
      <c r="D1781" s="1405"/>
      <c r="E1781" s="1405"/>
      <c r="F1781" s="1405"/>
      <c r="G1781" s="1405"/>
      <c r="H1781" s="1405"/>
      <c r="I1781" s="1405"/>
      <c r="J1781" s="1405"/>
      <c r="K1781" s="1405"/>
      <c r="L1781" s="1405"/>
      <c r="M1781" s="1405"/>
      <c r="S1781" s="1731"/>
    </row>
    <row r="1782" spans="1:19" x14ac:dyDescent="0.2">
      <c r="A1782" s="1402"/>
      <c r="B1782" s="1405"/>
      <c r="C1782" s="1407"/>
      <c r="D1782" s="1405"/>
      <c r="E1782" s="1405"/>
      <c r="F1782" s="1405"/>
      <c r="G1782" s="1405"/>
      <c r="H1782" s="1405"/>
      <c r="I1782" s="1405"/>
      <c r="J1782" s="1405"/>
      <c r="K1782" s="1405"/>
      <c r="L1782" s="1405"/>
      <c r="M1782" s="1405"/>
      <c r="S1782" s="1731"/>
    </row>
    <row r="1783" spans="1:19" x14ac:dyDescent="0.2">
      <c r="A1783" s="1402"/>
      <c r="B1783" s="1405"/>
      <c r="C1783" s="1407"/>
      <c r="D1783" s="1405"/>
      <c r="E1783" s="1405"/>
      <c r="F1783" s="1405"/>
      <c r="G1783" s="1405"/>
      <c r="H1783" s="1405"/>
      <c r="I1783" s="1405"/>
      <c r="J1783" s="1405"/>
      <c r="K1783" s="1405"/>
      <c r="L1783" s="1405"/>
      <c r="M1783" s="1405"/>
      <c r="S1783" s="1731"/>
    </row>
    <row r="1784" spans="1:19" x14ac:dyDescent="0.2">
      <c r="A1784" s="1402"/>
      <c r="B1784" s="1405"/>
      <c r="C1784" s="1407"/>
      <c r="D1784" s="1405"/>
      <c r="E1784" s="1405"/>
      <c r="F1784" s="1405"/>
      <c r="G1784" s="1405"/>
      <c r="H1784" s="1405"/>
      <c r="I1784" s="1405"/>
      <c r="J1784" s="1405"/>
      <c r="K1784" s="1405"/>
      <c r="L1784" s="1405"/>
      <c r="M1784" s="1405"/>
      <c r="S1784" s="1731"/>
    </row>
    <row r="1785" spans="1:19" x14ac:dyDescent="0.2">
      <c r="A1785" s="1402"/>
      <c r="B1785" s="1405"/>
      <c r="C1785" s="1407"/>
      <c r="D1785" s="1405"/>
      <c r="E1785" s="1405"/>
      <c r="F1785" s="1405"/>
      <c r="G1785" s="1405"/>
      <c r="H1785" s="1405"/>
      <c r="I1785" s="1405"/>
      <c r="J1785" s="1405"/>
      <c r="K1785" s="1405"/>
      <c r="L1785" s="1405"/>
      <c r="M1785" s="1405"/>
      <c r="S1785" s="1731"/>
    </row>
    <row r="1786" spans="1:19" x14ac:dyDescent="0.2">
      <c r="A1786" s="1402"/>
      <c r="B1786" s="1405"/>
      <c r="C1786" s="1407"/>
      <c r="D1786" s="1405"/>
      <c r="E1786" s="1405"/>
      <c r="F1786" s="1405"/>
      <c r="G1786" s="1405"/>
      <c r="H1786" s="1405"/>
      <c r="I1786" s="1405"/>
      <c r="J1786" s="1405"/>
      <c r="K1786" s="1405"/>
      <c r="L1786" s="1405"/>
      <c r="M1786" s="1405"/>
      <c r="S1786" s="1731"/>
    </row>
    <row r="1787" spans="1:19" x14ac:dyDescent="0.2">
      <c r="A1787" s="1402"/>
      <c r="B1787" s="1405"/>
      <c r="C1787" s="1407"/>
      <c r="D1787" s="1405"/>
      <c r="E1787" s="1405"/>
      <c r="F1787" s="1405"/>
      <c r="G1787" s="1405"/>
      <c r="H1787" s="1405"/>
      <c r="I1787" s="1405"/>
      <c r="J1787" s="1405"/>
      <c r="K1787" s="1405"/>
      <c r="L1787" s="1405"/>
      <c r="M1787" s="1405"/>
      <c r="S1787" s="1731"/>
    </row>
    <row r="1788" spans="1:19" x14ac:dyDescent="0.2">
      <c r="A1788" s="1402"/>
      <c r="B1788" s="1405"/>
      <c r="C1788" s="1407"/>
      <c r="D1788" s="1405"/>
      <c r="E1788" s="1405"/>
      <c r="F1788" s="1405"/>
      <c r="G1788" s="1405"/>
      <c r="H1788" s="1405"/>
      <c r="I1788" s="1405"/>
      <c r="J1788" s="1405"/>
      <c r="K1788" s="1405"/>
      <c r="L1788" s="1405"/>
      <c r="M1788" s="1405"/>
      <c r="S1788" s="1731"/>
    </row>
    <row r="1789" spans="1:19" x14ac:dyDescent="0.2">
      <c r="A1789" s="1402"/>
      <c r="B1789" s="1405"/>
      <c r="C1789" s="1407"/>
      <c r="D1789" s="1405"/>
      <c r="E1789" s="1405"/>
      <c r="F1789" s="1405"/>
      <c r="G1789" s="1405"/>
      <c r="H1789" s="1405"/>
      <c r="I1789" s="1405"/>
      <c r="J1789" s="1405"/>
      <c r="K1789" s="1405"/>
      <c r="L1789" s="1405"/>
      <c r="M1789" s="1405"/>
      <c r="S1789" s="1731"/>
    </row>
    <row r="1790" spans="1:19" x14ac:dyDescent="0.2">
      <c r="A1790" s="1402"/>
      <c r="B1790" s="1405"/>
      <c r="C1790" s="1407"/>
      <c r="D1790" s="1405"/>
      <c r="E1790" s="1405"/>
      <c r="F1790" s="1405"/>
      <c r="G1790" s="1405"/>
      <c r="H1790" s="1405"/>
      <c r="I1790" s="1405"/>
      <c r="J1790" s="1405"/>
      <c r="K1790" s="1405"/>
      <c r="L1790" s="1405"/>
      <c r="M1790" s="1405"/>
      <c r="S1790" s="1731"/>
    </row>
    <row r="1791" spans="1:19" x14ac:dyDescent="0.2">
      <c r="A1791" s="1402"/>
      <c r="B1791" s="1405"/>
      <c r="C1791" s="1407"/>
      <c r="D1791" s="1405"/>
      <c r="E1791" s="1405"/>
      <c r="F1791" s="1405"/>
      <c r="G1791" s="1405"/>
      <c r="H1791" s="1405"/>
      <c r="I1791" s="1405"/>
      <c r="J1791" s="1405"/>
      <c r="K1791" s="1405"/>
      <c r="L1791" s="1405"/>
      <c r="M1791" s="1405"/>
      <c r="S1791" s="1731"/>
    </row>
    <row r="1792" spans="1:19" x14ac:dyDescent="0.2">
      <c r="A1792" s="1402"/>
      <c r="B1792" s="1405"/>
      <c r="C1792" s="1407"/>
      <c r="D1792" s="1405"/>
      <c r="E1792" s="1405"/>
      <c r="F1792" s="1405"/>
      <c r="G1792" s="1405"/>
      <c r="H1792" s="1405"/>
      <c r="I1792" s="1405"/>
      <c r="J1792" s="1405"/>
      <c r="K1792" s="1405"/>
      <c r="L1792" s="1405"/>
      <c r="M1792" s="1405"/>
      <c r="S1792" s="1731"/>
    </row>
    <row r="1793" spans="1:19" x14ac:dyDescent="0.2">
      <c r="A1793" s="1402"/>
      <c r="B1793" s="1405"/>
      <c r="C1793" s="1407"/>
      <c r="D1793" s="1405"/>
      <c r="E1793" s="1405"/>
      <c r="F1793" s="1405"/>
      <c r="G1793" s="1405"/>
      <c r="H1793" s="1405"/>
      <c r="I1793" s="1405"/>
      <c r="J1793" s="1405"/>
      <c r="K1793" s="1405"/>
      <c r="L1793" s="1405"/>
      <c r="M1793" s="1405"/>
      <c r="S1793" s="1731"/>
    </row>
    <row r="1794" spans="1:19" x14ac:dyDescent="0.2">
      <c r="A1794" s="1402"/>
      <c r="B1794" s="1405"/>
      <c r="C1794" s="1407"/>
      <c r="D1794" s="1405"/>
      <c r="E1794" s="1405"/>
      <c r="F1794" s="1405"/>
      <c r="G1794" s="1405"/>
      <c r="H1794" s="1405"/>
      <c r="I1794" s="1405"/>
      <c r="J1794" s="1405"/>
      <c r="K1794" s="1405"/>
      <c r="L1794" s="1405"/>
      <c r="M1794" s="1405"/>
      <c r="S1794" s="1731"/>
    </row>
    <row r="1795" spans="1:19" x14ac:dyDescent="0.2">
      <c r="A1795" s="1402"/>
      <c r="B1795" s="1405"/>
      <c r="C1795" s="1407"/>
      <c r="D1795" s="1405"/>
      <c r="E1795" s="1405"/>
      <c r="F1795" s="1405"/>
      <c r="G1795" s="1405"/>
      <c r="H1795" s="1405"/>
      <c r="I1795" s="1405"/>
      <c r="J1795" s="1405"/>
      <c r="K1795" s="1405"/>
      <c r="L1795" s="1405"/>
      <c r="M1795" s="1405"/>
      <c r="S1795" s="1731"/>
    </row>
    <row r="1796" spans="1:19" x14ac:dyDescent="0.2">
      <c r="A1796" s="1402"/>
      <c r="B1796" s="1405"/>
      <c r="C1796" s="1407"/>
      <c r="D1796" s="1405"/>
      <c r="E1796" s="1405"/>
      <c r="F1796" s="1405"/>
      <c r="G1796" s="1405"/>
      <c r="H1796" s="1405"/>
      <c r="I1796" s="1405"/>
      <c r="J1796" s="1405"/>
      <c r="K1796" s="1405"/>
      <c r="L1796" s="1405"/>
      <c r="M1796" s="1405"/>
      <c r="S1796" s="1731"/>
    </row>
    <row r="1797" spans="1:19" x14ac:dyDescent="0.2">
      <c r="A1797" s="1402"/>
      <c r="B1797" s="1405"/>
      <c r="C1797" s="1407"/>
      <c r="D1797" s="1405"/>
      <c r="E1797" s="1405"/>
      <c r="F1797" s="1405"/>
      <c r="G1797" s="1405"/>
      <c r="H1797" s="1405"/>
      <c r="I1797" s="1405"/>
      <c r="J1797" s="1405"/>
      <c r="K1797" s="1405"/>
      <c r="L1797" s="1405"/>
      <c r="M1797" s="1405"/>
      <c r="S1797" s="1731"/>
    </row>
    <row r="1798" spans="1:19" x14ac:dyDescent="0.2">
      <c r="A1798" s="1402"/>
      <c r="B1798" s="1405"/>
      <c r="C1798" s="1407"/>
      <c r="D1798" s="1405"/>
      <c r="E1798" s="1405"/>
      <c r="F1798" s="1405"/>
      <c r="G1798" s="1405"/>
      <c r="H1798" s="1405"/>
      <c r="I1798" s="1405"/>
      <c r="J1798" s="1405"/>
      <c r="K1798" s="1405"/>
      <c r="L1798" s="1405"/>
      <c r="M1798" s="1405"/>
      <c r="S1798" s="1731"/>
    </row>
    <row r="1799" spans="1:19" x14ac:dyDescent="0.2">
      <c r="A1799" s="1402"/>
      <c r="B1799" s="1405"/>
      <c r="C1799" s="1407"/>
      <c r="D1799" s="1405"/>
      <c r="E1799" s="1405"/>
      <c r="F1799" s="1405"/>
      <c r="G1799" s="1405"/>
      <c r="H1799" s="1405"/>
      <c r="I1799" s="1405"/>
      <c r="J1799" s="1405"/>
      <c r="K1799" s="1405"/>
      <c r="L1799" s="1405"/>
      <c r="M1799" s="1405"/>
      <c r="S1799" s="1731"/>
    </row>
    <row r="1800" spans="1:19" x14ac:dyDescent="0.2">
      <c r="A1800" s="1402"/>
      <c r="B1800" s="1405"/>
      <c r="C1800" s="1407"/>
      <c r="D1800" s="1405"/>
      <c r="E1800" s="1405"/>
      <c r="F1800" s="1405"/>
      <c r="G1800" s="1405"/>
      <c r="H1800" s="1405"/>
      <c r="I1800" s="1405"/>
      <c r="J1800" s="1405"/>
      <c r="K1800" s="1405"/>
      <c r="L1800" s="1405"/>
      <c r="M1800" s="1405"/>
      <c r="S1800" s="1731"/>
    </row>
    <row r="1801" spans="1:19" x14ac:dyDescent="0.2">
      <c r="A1801" s="1402"/>
      <c r="B1801" s="1405"/>
      <c r="C1801" s="1407"/>
      <c r="D1801" s="1405"/>
      <c r="E1801" s="1405"/>
      <c r="F1801" s="1405"/>
      <c r="G1801" s="1405"/>
      <c r="H1801" s="1405"/>
      <c r="I1801" s="1405"/>
      <c r="J1801" s="1405"/>
      <c r="K1801" s="1405"/>
      <c r="L1801" s="1405"/>
      <c r="M1801" s="1405"/>
      <c r="S1801" s="1731"/>
    </row>
    <row r="1802" spans="1:19" x14ac:dyDescent="0.2">
      <c r="A1802" s="1402"/>
      <c r="B1802" s="1405"/>
      <c r="C1802" s="1407"/>
      <c r="D1802" s="1405"/>
      <c r="E1802" s="1405"/>
      <c r="F1802" s="1405"/>
      <c r="G1802" s="1405"/>
      <c r="H1802" s="1405"/>
      <c r="I1802" s="1405"/>
      <c r="J1802" s="1405"/>
      <c r="K1802" s="1405"/>
      <c r="L1802" s="1405"/>
      <c r="M1802" s="1405"/>
      <c r="S1802" s="1731"/>
    </row>
    <row r="1803" spans="1:19" x14ac:dyDescent="0.2">
      <c r="A1803" s="1402"/>
      <c r="B1803" s="1405"/>
      <c r="C1803" s="1407"/>
      <c r="D1803" s="1405"/>
      <c r="E1803" s="1405"/>
      <c r="F1803" s="1405"/>
      <c r="G1803" s="1405"/>
      <c r="H1803" s="1405"/>
      <c r="I1803" s="1405"/>
      <c r="J1803" s="1405"/>
      <c r="K1803" s="1405"/>
      <c r="L1803" s="1405"/>
      <c r="M1803" s="1405"/>
      <c r="S1803" s="1731"/>
    </row>
    <row r="1804" spans="1:19" x14ac:dyDescent="0.2">
      <c r="A1804" s="1402"/>
      <c r="B1804" s="1405"/>
      <c r="C1804" s="1407"/>
      <c r="D1804" s="1405"/>
      <c r="E1804" s="1405"/>
      <c r="F1804" s="1405"/>
      <c r="G1804" s="1405"/>
      <c r="H1804" s="1405"/>
      <c r="I1804" s="1405"/>
      <c r="J1804" s="1405"/>
      <c r="K1804" s="1405"/>
      <c r="L1804" s="1405"/>
      <c r="M1804" s="1405"/>
      <c r="S1804" s="1731"/>
    </row>
    <row r="1805" spans="1:19" x14ac:dyDescent="0.2">
      <c r="A1805" s="1402"/>
      <c r="B1805" s="1405"/>
      <c r="C1805" s="1407"/>
      <c r="D1805" s="1405"/>
      <c r="E1805" s="1405"/>
      <c r="F1805" s="1405"/>
      <c r="G1805" s="1405"/>
      <c r="H1805" s="1405"/>
      <c r="I1805" s="1405"/>
      <c r="J1805" s="1405"/>
      <c r="K1805" s="1405"/>
      <c r="L1805" s="1405"/>
      <c r="M1805" s="1405"/>
      <c r="S1805" s="1731"/>
    </row>
    <row r="1806" spans="1:19" x14ac:dyDescent="0.2">
      <c r="A1806" s="1402"/>
      <c r="B1806" s="1405"/>
      <c r="C1806" s="1407"/>
      <c r="D1806" s="1405"/>
      <c r="E1806" s="1405"/>
      <c r="F1806" s="1405"/>
      <c r="G1806" s="1405"/>
      <c r="H1806" s="1405"/>
      <c r="I1806" s="1405"/>
      <c r="J1806" s="1405"/>
      <c r="K1806" s="1405"/>
      <c r="L1806" s="1405"/>
      <c r="M1806" s="1405"/>
      <c r="S1806" s="1731"/>
    </row>
    <row r="1807" spans="1:19" x14ac:dyDescent="0.2">
      <c r="A1807" s="1402"/>
      <c r="B1807" s="1405"/>
      <c r="C1807" s="1407"/>
      <c r="D1807" s="1405"/>
      <c r="E1807" s="1405"/>
      <c r="F1807" s="1405"/>
      <c r="G1807" s="1405"/>
      <c r="H1807" s="1405"/>
      <c r="I1807" s="1405"/>
      <c r="J1807" s="1405"/>
      <c r="K1807" s="1405"/>
      <c r="L1807" s="1405"/>
      <c r="M1807" s="1405"/>
      <c r="S1807" s="1731"/>
    </row>
  </sheetData>
  <mergeCells count="51">
    <mergeCell ref="A68:A71"/>
    <mergeCell ref="S69:S71"/>
    <mergeCell ref="C70:C71"/>
    <mergeCell ref="A73:R73"/>
    <mergeCell ref="A60:A63"/>
    <mergeCell ref="C62:C63"/>
    <mergeCell ref="S61:S63"/>
    <mergeCell ref="A64:A67"/>
    <mergeCell ref="S65:S67"/>
    <mergeCell ref="C66:C67"/>
    <mergeCell ref="A47:A59"/>
    <mergeCell ref="S47:S59"/>
    <mergeCell ref="C49:C55"/>
    <mergeCell ref="C57:C59"/>
    <mergeCell ref="A37:A46"/>
    <mergeCell ref="S37:S46"/>
    <mergeCell ref="C39:C43"/>
    <mergeCell ref="C45:C46"/>
    <mergeCell ref="A12:A26"/>
    <mergeCell ref="S12:S26"/>
    <mergeCell ref="C13:C20"/>
    <mergeCell ref="C22:C26"/>
    <mergeCell ref="A27:A36"/>
    <mergeCell ref="S27:S36"/>
    <mergeCell ref="C29:C33"/>
    <mergeCell ref="C35:C36"/>
    <mergeCell ref="A3:S3"/>
    <mergeCell ref="A4:A7"/>
    <mergeCell ref="B4:B7"/>
    <mergeCell ref="C4:C7"/>
    <mergeCell ref="D4:H4"/>
    <mergeCell ref="I4:M4"/>
    <mergeCell ref="N4:S4"/>
    <mergeCell ref="D5:D7"/>
    <mergeCell ref="E5:E7"/>
    <mergeCell ref="F5:F7"/>
    <mergeCell ref="I5:I7"/>
    <mergeCell ref="J5:J7"/>
    <mergeCell ref="K5:K7"/>
    <mergeCell ref="M5:M7"/>
    <mergeCell ref="N5:N7"/>
    <mergeCell ref="S5:S7"/>
    <mergeCell ref="G5:H5"/>
    <mergeCell ref="G6:G7"/>
    <mergeCell ref="H6:H7"/>
    <mergeCell ref="O5:R5"/>
    <mergeCell ref="O6:O7"/>
    <mergeCell ref="L5:L7"/>
    <mergeCell ref="P6:P7"/>
    <mergeCell ref="Q6:Q7"/>
    <mergeCell ref="R6:R7"/>
  </mergeCells>
  <printOptions horizontalCentered="1"/>
  <pageMargins left="0.15748031496062992" right="0.15748031496062992" top="0.51181102362204722" bottom="0.31496062992125984" header="0.15748031496062992" footer="0.15748031496062992"/>
  <pageSetup paperSize="9" scale="60" firstPageNumber="73" orientation="portrait" useFirstPageNumber="1" r:id="rId1"/>
  <headerFooter alignWithMargins="0">
    <oddHeader>&amp;C&amp;"Arial,Kursywa"Informacja o przebiegu wykonania budżetu Województwa Zachodniopomorskiego za I kwartał 2013 roku - załączniki
____________________________________________________________________________________________________________________________</oddHeader>
    <oddFooter>&amp;C&amp;8&amp;P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DJ516"/>
  <sheetViews>
    <sheetView showGridLines="0" view="pageBreakPreview" zoomScaleNormal="100" zoomScaleSheetLayoutView="100" workbookViewId="0">
      <pane xSplit="12" ySplit="9" topLeftCell="M10" activePane="bottomRight" state="frozen"/>
      <selection pane="topRight" activeCell="M1" sqref="M1"/>
      <selection pane="bottomLeft" activeCell="A10" sqref="A10"/>
      <selection pane="bottomRight" activeCell="T1" sqref="T1:U1048576"/>
    </sheetView>
  </sheetViews>
  <sheetFormatPr defaultRowHeight="11.25" x14ac:dyDescent="0.2"/>
  <cols>
    <col min="1" max="1" width="2.85546875" style="1748" customWidth="1"/>
    <col min="2" max="2" width="44" style="1749" customWidth="1"/>
    <col min="3" max="3" width="11.42578125" style="1749" customWidth="1"/>
    <col min="4" max="4" width="13.7109375" style="1749" customWidth="1"/>
    <col min="5" max="5" width="10.5703125" style="1749" hidden="1" customWidth="1"/>
    <col min="6" max="6" width="12.5703125" style="1749" hidden="1" customWidth="1"/>
    <col min="7" max="7" width="12.7109375" style="1749" customWidth="1"/>
    <col min="8" max="8" width="14.28515625" style="1749" customWidth="1"/>
    <col min="9" max="9" width="12.28515625" style="1749" hidden="1" customWidth="1"/>
    <col min="10" max="10" width="12.42578125" style="1749" hidden="1" customWidth="1"/>
    <col min="11" max="12" width="12.140625" style="1749" hidden="1" customWidth="1"/>
    <col min="13" max="13" width="12" style="1749" hidden="1" customWidth="1"/>
    <col min="14" max="14" width="12.140625" style="1749" customWidth="1"/>
    <col min="15" max="15" width="11.42578125" style="1947" customWidth="1"/>
    <col min="16" max="16" width="11" style="1751" customWidth="1"/>
    <col min="17" max="17" width="12.28515625" style="1751" customWidth="1"/>
    <col min="18" max="18" width="10" style="478" hidden="1" customWidth="1"/>
    <col min="19" max="19" width="15.140625" style="1948" customWidth="1"/>
    <col min="20" max="20" width="11.85546875" style="1749" customWidth="1"/>
    <col min="21" max="21" width="10.140625" style="1749" bestFit="1" customWidth="1"/>
    <col min="22" max="16384" width="9.140625" style="1749"/>
  </cols>
  <sheetData>
    <row r="1" spans="1:114" ht="18.75" customHeight="1" x14ac:dyDescent="0.3">
      <c r="N1" s="9"/>
      <c r="O1" s="9"/>
      <c r="P1" s="9"/>
      <c r="Q1" s="9" t="s">
        <v>370</v>
      </c>
      <c r="R1" s="9" t="s">
        <v>168</v>
      </c>
      <c r="S1" s="9"/>
    </row>
    <row r="2" spans="1:114" ht="15" customHeight="1" x14ac:dyDescent="0.2">
      <c r="N2" s="242"/>
      <c r="O2" s="1749"/>
      <c r="P2" s="1749"/>
      <c r="Q2" s="1749"/>
      <c r="R2" s="271"/>
      <c r="S2" s="1287"/>
    </row>
    <row r="3" spans="1:114" ht="15" customHeight="1" x14ac:dyDescent="0.2">
      <c r="A3" s="1750"/>
      <c r="B3" s="1751"/>
      <c r="N3" s="242"/>
      <c r="O3" s="1749"/>
      <c r="P3" s="1749"/>
      <c r="Q3" s="1749"/>
      <c r="R3" s="271"/>
      <c r="S3" s="1287"/>
    </row>
    <row r="4" spans="1:114" s="1753" customFormat="1" ht="52.5" customHeight="1" thickBot="1" x14ac:dyDescent="0.25">
      <c r="A4" s="3078" t="s">
        <v>291</v>
      </c>
      <c r="B4" s="3079"/>
      <c r="C4" s="3079"/>
      <c r="D4" s="3079"/>
      <c r="E4" s="3079"/>
      <c r="F4" s="3079"/>
      <c r="G4" s="3079"/>
      <c r="H4" s="3079"/>
      <c r="I4" s="3079"/>
      <c r="J4" s="3079"/>
      <c r="K4" s="3079"/>
      <c r="L4" s="3079"/>
      <c r="M4" s="3079"/>
      <c r="N4" s="3079"/>
      <c r="O4" s="3079"/>
      <c r="P4" s="3079"/>
      <c r="Q4" s="3079"/>
      <c r="R4" s="3079"/>
      <c r="S4" s="3080"/>
      <c r="T4" s="1752"/>
      <c r="U4" s="1752"/>
      <c r="V4" s="1752"/>
      <c r="W4" s="1752"/>
      <c r="X4" s="1752"/>
      <c r="Y4" s="1752"/>
      <c r="Z4" s="1752"/>
      <c r="AA4" s="1752"/>
      <c r="AB4" s="1752"/>
      <c r="AC4" s="1752"/>
      <c r="AD4" s="1752"/>
      <c r="AE4" s="1752"/>
      <c r="AF4" s="1752"/>
      <c r="AG4" s="1752"/>
      <c r="AH4" s="1752"/>
      <c r="AI4" s="1752"/>
      <c r="AJ4" s="1752"/>
      <c r="AK4" s="1752"/>
      <c r="AL4" s="1752"/>
      <c r="AM4" s="1752"/>
      <c r="AN4" s="1752"/>
      <c r="AO4" s="1752"/>
      <c r="AP4" s="1752"/>
      <c r="AQ4" s="1752"/>
      <c r="AR4" s="1752"/>
      <c r="AS4" s="1752"/>
      <c r="AT4" s="1752"/>
      <c r="AU4" s="1752"/>
      <c r="AV4" s="1752"/>
      <c r="AW4" s="1752"/>
      <c r="AX4" s="1752"/>
      <c r="AY4" s="1752"/>
      <c r="AZ4" s="1752"/>
      <c r="BA4" s="1752"/>
      <c r="BB4" s="1752"/>
      <c r="BC4" s="1752"/>
      <c r="BD4" s="1752"/>
      <c r="BE4" s="1752"/>
      <c r="BF4" s="1752"/>
      <c r="BG4" s="1752"/>
      <c r="BH4" s="1752"/>
      <c r="BI4" s="1752"/>
      <c r="BJ4" s="1752"/>
      <c r="BK4" s="1752"/>
      <c r="BL4" s="1752"/>
      <c r="BM4" s="1752"/>
      <c r="BN4" s="1752"/>
      <c r="BO4" s="1752"/>
      <c r="BP4" s="1752"/>
      <c r="BQ4" s="1752"/>
      <c r="BR4" s="1752"/>
      <c r="BS4" s="1752"/>
      <c r="BT4" s="1752"/>
      <c r="BU4" s="1752"/>
      <c r="BV4" s="1752"/>
      <c r="BW4" s="1752"/>
      <c r="BX4" s="1752"/>
      <c r="BY4" s="1752"/>
      <c r="BZ4" s="1752"/>
      <c r="CA4" s="1752"/>
      <c r="CB4" s="1752"/>
      <c r="CC4" s="1752"/>
      <c r="CD4" s="1752"/>
      <c r="CE4" s="1752"/>
      <c r="CF4" s="1752"/>
      <c r="CG4" s="1752"/>
      <c r="CH4" s="1752"/>
      <c r="CI4" s="1752"/>
      <c r="CJ4" s="1752"/>
      <c r="CK4" s="1752"/>
      <c r="CL4" s="1752"/>
      <c r="CM4" s="1752"/>
      <c r="CN4" s="1752"/>
      <c r="CO4" s="1752"/>
      <c r="CP4" s="1752"/>
      <c r="CQ4" s="1752"/>
      <c r="CR4" s="1752"/>
      <c r="CS4" s="1752"/>
      <c r="CT4" s="1752"/>
      <c r="CU4" s="1752"/>
      <c r="CV4" s="1752"/>
      <c r="CW4" s="1752"/>
      <c r="CX4" s="1752"/>
      <c r="CY4" s="1752"/>
      <c r="CZ4" s="1752"/>
      <c r="DA4" s="1752"/>
      <c r="DB4" s="1752"/>
      <c r="DC4" s="1752"/>
      <c r="DD4" s="1752"/>
      <c r="DE4" s="1752"/>
      <c r="DF4" s="1752"/>
      <c r="DG4" s="1752"/>
      <c r="DH4" s="1752"/>
      <c r="DI4" s="1752"/>
      <c r="DJ4" s="1752"/>
    </row>
    <row r="5" spans="1:114" s="252" customFormat="1" ht="50.25" customHeight="1" x14ac:dyDescent="0.2">
      <c r="A5" s="3081" t="s">
        <v>32</v>
      </c>
      <c r="B5" s="3084" t="s">
        <v>33</v>
      </c>
      <c r="C5" s="2988" t="s">
        <v>34</v>
      </c>
      <c r="D5" s="2717" t="s">
        <v>360</v>
      </c>
      <c r="E5" s="2718"/>
      <c r="F5" s="2718"/>
      <c r="G5" s="2718"/>
      <c r="H5" s="2719"/>
      <c r="I5" s="2927"/>
      <c r="J5" s="2928"/>
      <c r="K5" s="2928"/>
      <c r="L5" s="2928"/>
      <c r="M5" s="2929"/>
      <c r="N5" s="2930" t="s">
        <v>214</v>
      </c>
      <c r="O5" s="2718"/>
      <c r="P5" s="2718"/>
      <c r="Q5" s="2718"/>
      <c r="R5" s="2718"/>
      <c r="S5" s="2719"/>
    </row>
    <row r="6" spans="1:114" s="252" customFormat="1" ht="22.5" customHeight="1" x14ac:dyDescent="0.2">
      <c r="A6" s="3082"/>
      <c r="B6" s="3085"/>
      <c r="C6" s="2989"/>
      <c r="D6" s="2931" t="s">
        <v>0</v>
      </c>
      <c r="E6" s="2934" t="s">
        <v>215</v>
      </c>
      <c r="F6" s="2935" t="s">
        <v>216</v>
      </c>
      <c r="G6" s="2917" t="s">
        <v>349</v>
      </c>
      <c r="H6" s="2918"/>
      <c r="I6" s="2937" t="s">
        <v>0</v>
      </c>
      <c r="J6" s="2919" t="s">
        <v>215</v>
      </c>
      <c r="K6" s="2940" t="s">
        <v>216</v>
      </c>
      <c r="L6" s="2919" t="s">
        <v>308</v>
      </c>
      <c r="M6" s="2943" t="s">
        <v>304</v>
      </c>
      <c r="N6" s="2944" t="s">
        <v>217</v>
      </c>
      <c r="O6" s="2720" t="s">
        <v>359</v>
      </c>
      <c r="P6" s="2721"/>
      <c r="Q6" s="2721"/>
      <c r="R6" s="2788"/>
      <c r="S6" s="2945" t="s">
        <v>35</v>
      </c>
    </row>
    <row r="7" spans="1:114" s="252" customFormat="1" ht="52.5" customHeight="1" x14ac:dyDescent="0.2">
      <c r="A7" s="3082"/>
      <c r="B7" s="3085"/>
      <c r="C7" s="2989"/>
      <c r="D7" s="2932"/>
      <c r="E7" s="2932"/>
      <c r="F7" s="2935"/>
      <c r="G7" s="2753" t="s">
        <v>358</v>
      </c>
      <c r="H7" s="2761" t="s">
        <v>304</v>
      </c>
      <c r="I7" s="2938"/>
      <c r="J7" s="2920"/>
      <c r="K7" s="2941"/>
      <c r="L7" s="2920"/>
      <c r="M7" s="2733"/>
      <c r="N7" s="2753"/>
      <c r="O7" s="2753" t="s">
        <v>355</v>
      </c>
      <c r="P7" s="2709" t="s">
        <v>218</v>
      </c>
      <c r="Q7" s="2709" t="s">
        <v>356</v>
      </c>
      <c r="R7" s="2709" t="s">
        <v>219</v>
      </c>
      <c r="S7" s="2946"/>
    </row>
    <row r="8" spans="1:114" s="252" customFormat="1" ht="43.5" customHeight="1" thickBot="1" x14ac:dyDescent="0.25">
      <c r="A8" s="3083"/>
      <c r="B8" s="3086"/>
      <c r="C8" s="2990"/>
      <c r="D8" s="2933"/>
      <c r="E8" s="2933"/>
      <c r="F8" s="2936"/>
      <c r="G8" s="2755"/>
      <c r="H8" s="2762"/>
      <c r="I8" s="2939"/>
      <c r="J8" s="2921"/>
      <c r="K8" s="2942"/>
      <c r="L8" s="2921"/>
      <c r="M8" s="2735"/>
      <c r="N8" s="2755"/>
      <c r="O8" s="2755"/>
      <c r="P8" s="2710"/>
      <c r="Q8" s="2710"/>
      <c r="R8" s="2710"/>
      <c r="S8" s="2787"/>
    </row>
    <row r="9" spans="1:114" s="1764" customFormat="1" ht="13.5" customHeight="1" thickBot="1" x14ac:dyDescent="0.25">
      <c r="A9" s="1754">
        <v>1</v>
      </c>
      <c r="B9" s="1755">
        <v>2</v>
      </c>
      <c r="C9" s="1756">
        <v>3</v>
      </c>
      <c r="D9" s="1757">
        <v>4</v>
      </c>
      <c r="E9" s="1758">
        <v>5</v>
      </c>
      <c r="F9" s="1759">
        <v>4</v>
      </c>
      <c r="G9" s="1759">
        <v>5</v>
      </c>
      <c r="H9" s="1760">
        <v>6</v>
      </c>
      <c r="I9" s="1761">
        <v>7</v>
      </c>
      <c r="J9" s="1759"/>
      <c r="K9" s="1762"/>
      <c r="L9" s="1759">
        <v>8</v>
      </c>
      <c r="M9" s="1760">
        <v>9</v>
      </c>
      <c r="N9" s="1761">
        <v>7</v>
      </c>
      <c r="O9" s="1759">
        <v>8</v>
      </c>
      <c r="P9" s="1759">
        <v>9</v>
      </c>
      <c r="Q9" s="1759">
        <v>10</v>
      </c>
      <c r="R9" s="1759">
        <v>14</v>
      </c>
      <c r="S9" s="1760">
        <v>11</v>
      </c>
      <c r="T9" s="1763"/>
      <c r="U9" s="1763"/>
      <c r="W9" s="1763"/>
    </row>
    <row r="10" spans="1:114" s="271" customFormat="1" ht="18" customHeight="1" thickBot="1" x14ac:dyDescent="0.25">
      <c r="A10" s="263"/>
      <c r="B10" s="264" t="s">
        <v>220</v>
      </c>
      <c r="C10" s="509"/>
      <c r="D10" s="35">
        <f t="shared" ref="D10:G10" si="0">D11+D12</f>
        <v>84809</v>
      </c>
      <c r="E10" s="1765">
        <f t="shared" si="0"/>
        <v>0</v>
      </c>
      <c r="F10" s="1765">
        <f t="shared" si="0"/>
        <v>0</v>
      </c>
      <c r="G10" s="34">
        <f t="shared" si="0"/>
        <v>75272</v>
      </c>
      <c r="H10" s="34">
        <f>H11+H12</f>
        <v>9537</v>
      </c>
      <c r="I10" s="35">
        <f t="shared" ref="I10:N10" si="1">I11+I12</f>
        <v>84809</v>
      </c>
      <c r="J10" s="1765">
        <f t="shared" si="1"/>
        <v>0</v>
      </c>
      <c r="K10" s="1766">
        <f>K11+K12</f>
        <v>0</v>
      </c>
      <c r="L10" s="34">
        <f t="shared" si="1"/>
        <v>75272</v>
      </c>
      <c r="M10" s="34">
        <f t="shared" si="1"/>
        <v>9537</v>
      </c>
      <c r="N10" s="35">
        <f t="shared" si="1"/>
        <v>0</v>
      </c>
      <c r="O10" s="156">
        <f>N10/D10*100</f>
        <v>0</v>
      </c>
      <c r="P10" s="34">
        <f t="shared" ref="P10" si="2">P11+P12</f>
        <v>0</v>
      </c>
      <c r="Q10" s="156">
        <f>P10/G10*100</f>
        <v>0</v>
      </c>
      <c r="R10" s="36">
        <f t="shared" ref="R10:R20" si="3">+P10-L10*0.25</f>
        <v>-18818</v>
      </c>
      <c r="S10" s="1415"/>
      <c r="T10" s="270"/>
      <c r="U10" s="239"/>
      <c r="V10" s="239"/>
      <c r="W10" s="239"/>
      <c r="X10" s="239"/>
      <c r="Y10" s="239"/>
      <c r="Z10" s="239"/>
      <c r="AA10" s="239"/>
      <c r="AB10" s="239"/>
      <c r="AC10" s="239"/>
      <c r="AD10" s="239"/>
      <c r="AE10" s="239"/>
      <c r="AF10" s="239"/>
      <c r="AG10" s="239"/>
      <c r="AH10" s="239"/>
      <c r="AI10" s="239"/>
      <c r="AJ10" s="239"/>
      <c r="AK10" s="239"/>
      <c r="AL10" s="239"/>
      <c r="AM10" s="239"/>
      <c r="AN10" s="239"/>
      <c r="AO10" s="239"/>
      <c r="AP10" s="239"/>
      <c r="AQ10" s="239"/>
      <c r="AR10" s="239"/>
      <c r="AS10" s="239"/>
      <c r="AT10" s="239"/>
      <c r="AU10" s="239"/>
      <c r="AV10" s="239"/>
      <c r="AW10" s="239"/>
      <c r="AX10" s="239"/>
      <c r="AY10" s="239"/>
      <c r="AZ10" s="239"/>
      <c r="BA10" s="239"/>
      <c r="BB10" s="239"/>
      <c r="BC10" s="239"/>
      <c r="BD10" s="239"/>
      <c r="BE10" s="239"/>
      <c r="BF10" s="239"/>
      <c r="BG10" s="239"/>
      <c r="BH10" s="239"/>
      <c r="BI10" s="239"/>
      <c r="BJ10" s="239"/>
      <c r="BK10" s="239"/>
      <c r="BL10" s="239"/>
      <c r="BM10" s="239"/>
      <c r="BN10" s="239"/>
      <c r="BO10" s="239"/>
      <c r="BP10" s="239"/>
      <c r="BQ10" s="239"/>
      <c r="BR10" s="239"/>
      <c r="BS10" s="239"/>
    </row>
    <row r="11" spans="1:114" s="522" customFormat="1" ht="15" customHeight="1" thickTop="1" thickBot="1" x14ac:dyDescent="0.25">
      <c r="A11" s="512"/>
      <c r="B11" s="513" t="s">
        <v>221</v>
      </c>
      <c r="C11" s="514"/>
      <c r="D11" s="47">
        <f>D22</f>
        <v>84809</v>
      </c>
      <c r="E11" s="518">
        <f t="shared" ref="E11:H11" si="4">E22</f>
        <v>0</v>
      </c>
      <c r="F11" s="518">
        <f t="shared" si="4"/>
        <v>0</v>
      </c>
      <c r="G11" s="45">
        <f t="shared" si="4"/>
        <v>75272</v>
      </c>
      <c r="H11" s="1767">
        <f t="shared" si="4"/>
        <v>9537</v>
      </c>
      <c r="I11" s="47">
        <f>I22</f>
        <v>84809</v>
      </c>
      <c r="J11" s="518">
        <f t="shared" ref="J11:M11" si="5">J22</f>
        <v>0</v>
      </c>
      <c r="K11" s="1768">
        <f>K22</f>
        <v>0</v>
      </c>
      <c r="L11" s="45">
        <f t="shared" si="5"/>
        <v>75272</v>
      </c>
      <c r="M11" s="1767">
        <f t="shared" si="5"/>
        <v>9537</v>
      </c>
      <c r="N11" s="44">
        <f>N22</f>
        <v>0</v>
      </c>
      <c r="O11" s="157">
        <f t="shared" ref="O11:O29" si="6">N11/D11*100</f>
        <v>0</v>
      </c>
      <c r="P11" s="45">
        <f t="shared" ref="P11" si="7">P22</f>
        <v>0</v>
      </c>
      <c r="Q11" s="157">
        <f>P11/G11*100</f>
        <v>0</v>
      </c>
      <c r="R11" s="45">
        <f t="shared" si="3"/>
        <v>-18818</v>
      </c>
      <c r="S11" s="1418"/>
      <c r="T11" s="521"/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0"/>
      <c r="AS11" s="250"/>
      <c r="AT11" s="250"/>
      <c r="AU11" s="250"/>
      <c r="AV11" s="250"/>
      <c r="AW11" s="250"/>
      <c r="AX11" s="250"/>
      <c r="AY11" s="250"/>
      <c r="AZ11" s="250"/>
      <c r="BA11" s="250"/>
      <c r="BB11" s="250"/>
      <c r="BC11" s="250"/>
      <c r="BD11" s="250"/>
      <c r="BE11" s="250"/>
      <c r="BF11" s="250"/>
      <c r="BG11" s="250"/>
      <c r="BH11" s="250"/>
      <c r="BI11" s="250"/>
      <c r="BJ11" s="250"/>
      <c r="BK11" s="250"/>
      <c r="BL11" s="250"/>
      <c r="BM11" s="250"/>
      <c r="BN11" s="250"/>
      <c r="BO11" s="250"/>
      <c r="BP11" s="250"/>
      <c r="BQ11" s="250"/>
      <c r="BR11" s="250"/>
      <c r="BS11" s="250"/>
    </row>
    <row r="12" spans="1:114" s="271" customFormat="1" ht="12" customHeight="1" thickTop="1" thickBot="1" x14ac:dyDescent="0.25">
      <c r="A12" s="272"/>
      <c r="B12" s="523" t="s">
        <v>222</v>
      </c>
      <c r="C12" s="524"/>
      <c r="D12" s="1769">
        <v>0</v>
      </c>
      <c r="E12" s="1770">
        <v>0</v>
      </c>
      <c r="F12" s="1770">
        <v>0</v>
      </c>
      <c r="G12" s="1770">
        <v>0</v>
      </c>
      <c r="H12" s="1771">
        <v>0</v>
      </c>
      <c r="I12" s="1769">
        <v>0</v>
      </c>
      <c r="J12" s="1770">
        <v>0</v>
      </c>
      <c r="K12" s="1772">
        <v>0</v>
      </c>
      <c r="L12" s="1770">
        <v>0</v>
      </c>
      <c r="M12" s="1771">
        <v>0</v>
      </c>
      <c r="N12" s="1769">
        <v>0</v>
      </c>
      <c r="O12" s="1773">
        <v>0</v>
      </c>
      <c r="P12" s="1770">
        <v>0</v>
      </c>
      <c r="Q12" s="1773">
        <v>0</v>
      </c>
      <c r="R12" s="528">
        <f t="shared" si="3"/>
        <v>0</v>
      </c>
      <c r="S12" s="1415"/>
      <c r="T12" s="270"/>
      <c r="U12" s="239"/>
      <c r="V12" s="239"/>
      <c r="W12" s="239"/>
      <c r="X12" s="239"/>
      <c r="Y12" s="239"/>
      <c r="Z12" s="239"/>
      <c r="AA12" s="239"/>
      <c r="AB12" s="239"/>
      <c r="AC12" s="239"/>
      <c r="AD12" s="239"/>
      <c r="AE12" s="239"/>
      <c r="AF12" s="239"/>
      <c r="AG12" s="239"/>
      <c r="AH12" s="239"/>
      <c r="AI12" s="239"/>
      <c r="AJ12" s="239"/>
      <c r="AK12" s="239"/>
      <c r="AL12" s="239"/>
      <c r="AM12" s="239"/>
      <c r="AN12" s="239"/>
      <c r="AO12" s="239"/>
      <c r="AP12" s="239"/>
      <c r="AQ12" s="239"/>
      <c r="AR12" s="239"/>
      <c r="AS12" s="239"/>
      <c r="AT12" s="239"/>
      <c r="AU12" s="239"/>
      <c r="AV12" s="239"/>
      <c r="AW12" s="239"/>
      <c r="AX12" s="239"/>
      <c r="AY12" s="239"/>
      <c r="AZ12" s="239"/>
      <c r="BA12" s="239"/>
      <c r="BB12" s="239"/>
      <c r="BC12" s="239"/>
      <c r="BD12" s="239"/>
      <c r="BE12" s="239"/>
      <c r="BF12" s="239"/>
      <c r="BG12" s="239"/>
      <c r="BH12" s="239"/>
      <c r="BI12" s="239"/>
      <c r="BJ12" s="239"/>
      <c r="BK12" s="239"/>
      <c r="BL12" s="239"/>
      <c r="BM12" s="239"/>
      <c r="BN12" s="239"/>
      <c r="BO12" s="239"/>
      <c r="BP12" s="239"/>
      <c r="BQ12" s="239"/>
      <c r="BR12" s="239"/>
      <c r="BS12" s="239"/>
    </row>
    <row r="13" spans="1:114" s="1748" customFormat="1" ht="13.5" customHeight="1" x14ac:dyDescent="0.2">
      <c r="A13" s="3063"/>
      <c r="B13" s="529" t="s">
        <v>3</v>
      </c>
      <c r="C13" s="530"/>
      <c r="D13" s="1774">
        <f>+D14+D16</f>
        <v>84809</v>
      </c>
      <c r="E13" s="1775">
        <f t="shared" ref="E13:H13" si="8">+E14+E16</f>
        <v>0</v>
      </c>
      <c r="F13" s="1775">
        <f t="shared" si="8"/>
        <v>0</v>
      </c>
      <c r="G13" s="1776">
        <f t="shared" si="8"/>
        <v>75272</v>
      </c>
      <c r="H13" s="1777">
        <f t="shared" si="8"/>
        <v>9537</v>
      </c>
      <c r="I13" s="1774">
        <f>+I14+I16</f>
        <v>84809</v>
      </c>
      <c r="J13" s="1775">
        <f t="shared" ref="J13:P13" si="9">+J14+J16</f>
        <v>0</v>
      </c>
      <c r="K13" s="1775">
        <f t="shared" si="9"/>
        <v>0</v>
      </c>
      <c r="L13" s="1776">
        <f>+L14+L16</f>
        <v>75272</v>
      </c>
      <c r="M13" s="1777">
        <f t="shared" si="9"/>
        <v>9537</v>
      </c>
      <c r="N13" s="1776">
        <f t="shared" si="9"/>
        <v>0</v>
      </c>
      <c r="O13" s="536">
        <f t="shared" si="6"/>
        <v>0</v>
      </c>
      <c r="P13" s="1776">
        <f t="shared" si="9"/>
        <v>0</v>
      </c>
      <c r="Q13" s="536">
        <f t="shared" ref="Q13:Q14" si="10">P13/G13*100</f>
        <v>0</v>
      </c>
      <c r="R13" s="1778">
        <f t="shared" si="3"/>
        <v>-18818</v>
      </c>
      <c r="S13" s="3066" t="s">
        <v>97</v>
      </c>
      <c r="T13" s="537"/>
      <c r="U13" s="1779"/>
    </row>
    <row r="14" spans="1:114" s="1786" customFormat="1" ht="14.25" customHeight="1" x14ac:dyDescent="0.2">
      <c r="A14" s="3064"/>
      <c r="B14" s="1780" t="s">
        <v>4</v>
      </c>
      <c r="C14" s="3069" t="s">
        <v>97</v>
      </c>
      <c r="D14" s="1781">
        <f t="shared" ref="D14:I14" si="11">+D15</f>
        <v>21203</v>
      </c>
      <c r="E14" s="1782">
        <f t="shared" si="11"/>
        <v>0</v>
      </c>
      <c r="F14" s="1782">
        <f t="shared" si="11"/>
        <v>0</v>
      </c>
      <c r="G14" s="1783">
        <f t="shared" si="11"/>
        <v>18818</v>
      </c>
      <c r="H14" s="1784">
        <f t="shared" si="11"/>
        <v>2385</v>
      </c>
      <c r="I14" s="1781">
        <f t="shared" si="11"/>
        <v>21203</v>
      </c>
      <c r="J14" s="1782">
        <f t="shared" ref="J14" si="12">+J15</f>
        <v>0</v>
      </c>
      <c r="K14" s="1782">
        <f t="shared" ref="K14" si="13">+K15</f>
        <v>0</v>
      </c>
      <c r="L14" s="1783">
        <f t="shared" ref="L14:P14" si="14">+L15</f>
        <v>18818</v>
      </c>
      <c r="M14" s="1784">
        <f t="shared" ref="M14" si="15">+M15</f>
        <v>2385</v>
      </c>
      <c r="N14" s="1783">
        <f t="shared" si="14"/>
        <v>0</v>
      </c>
      <c r="O14" s="545">
        <f t="shared" si="6"/>
        <v>0</v>
      </c>
      <c r="P14" s="1783">
        <f t="shared" si="14"/>
        <v>0</v>
      </c>
      <c r="Q14" s="545">
        <f t="shared" si="10"/>
        <v>0</v>
      </c>
      <c r="R14" s="1785">
        <f t="shared" si="3"/>
        <v>-4704.5</v>
      </c>
      <c r="S14" s="3067"/>
      <c r="T14" s="537"/>
      <c r="U14" s="250"/>
      <c r="V14" s="250"/>
      <c r="W14" s="250"/>
      <c r="X14" s="250"/>
      <c r="Y14" s="250"/>
      <c r="Z14" s="250"/>
      <c r="AA14" s="250"/>
      <c r="AB14" s="250"/>
      <c r="AC14" s="250"/>
      <c r="AD14" s="250"/>
      <c r="AE14" s="250"/>
    </row>
    <row r="15" spans="1:114" s="1793" customFormat="1" ht="13.5" customHeight="1" x14ac:dyDescent="0.2">
      <c r="A15" s="3064"/>
      <c r="B15" s="1787" t="s">
        <v>5</v>
      </c>
      <c r="C15" s="3069"/>
      <c r="D15" s="1788">
        <f>D24</f>
        <v>21203</v>
      </c>
      <c r="E15" s="1789">
        <f t="shared" ref="E15:H15" si="16">E24</f>
        <v>0</v>
      </c>
      <c r="F15" s="1789">
        <f t="shared" si="16"/>
        <v>0</v>
      </c>
      <c r="G15" s="1790">
        <f t="shared" si="16"/>
        <v>18818</v>
      </c>
      <c r="H15" s="1791">
        <f t="shared" si="16"/>
        <v>2385</v>
      </c>
      <c r="I15" s="1788">
        <f>I24</f>
        <v>21203</v>
      </c>
      <c r="J15" s="1789">
        <f t="shared" ref="J15:M15" si="17">J24</f>
        <v>0</v>
      </c>
      <c r="K15" s="1789">
        <f t="shared" si="17"/>
        <v>0</v>
      </c>
      <c r="L15" s="1790">
        <f t="shared" si="17"/>
        <v>18818</v>
      </c>
      <c r="M15" s="1791">
        <f t="shared" si="17"/>
        <v>2385</v>
      </c>
      <c r="N15" s="1790">
        <f t="shared" ref="N15" si="18">N24</f>
        <v>0</v>
      </c>
      <c r="O15" s="555">
        <f t="shared" si="6"/>
        <v>0</v>
      </c>
      <c r="P15" s="1790">
        <f t="shared" ref="P15" si="19">P24</f>
        <v>0</v>
      </c>
      <c r="Q15" s="555">
        <f>P15/G15*100</f>
        <v>0</v>
      </c>
      <c r="R15" s="1792">
        <f t="shared" si="3"/>
        <v>-4704.5</v>
      </c>
      <c r="S15" s="3067"/>
      <c r="T15" s="537"/>
    </row>
    <row r="16" spans="1:114" s="1786" customFormat="1" ht="13.5" customHeight="1" x14ac:dyDescent="0.2">
      <c r="A16" s="3064"/>
      <c r="B16" s="1433" t="s">
        <v>13</v>
      </c>
      <c r="C16" s="3069"/>
      <c r="D16" s="1781">
        <f t="shared" ref="D16:I16" si="20">D17</f>
        <v>63606</v>
      </c>
      <c r="E16" s="1782">
        <f t="shared" si="20"/>
        <v>0</v>
      </c>
      <c r="F16" s="1782">
        <f t="shared" si="20"/>
        <v>0</v>
      </c>
      <c r="G16" s="1783">
        <f t="shared" si="20"/>
        <v>56454</v>
      </c>
      <c r="H16" s="1784">
        <f t="shared" si="20"/>
        <v>7152</v>
      </c>
      <c r="I16" s="1781">
        <f t="shared" si="20"/>
        <v>63606</v>
      </c>
      <c r="J16" s="1782">
        <f t="shared" ref="J16" si="21">J17</f>
        <v>0</v>
      </c>
      <c r="K16" s="1782">
        <f t="shared" ref="K16" si="22">K17</f>
        <v>0</v>
      </c>
      <c r="L16" s="1783">
        <f t="shared" ref="L16:P16" si="23">L17</f>
        <v>56454</v>
      </c>
      <c r="M16" s="1784">
        <f t="shared" ref="M16" si="24">M17</f>
        <v>7152</v>
      </c>
      <c r="N16" s="1783">
        <f t="shared" si="23"/>
        <v>0</v>
      </c>
      <c r="O16" s="1794">
        <f t="shared" si="6"/>
        <v>0</v>
      </c>
      <c r="P16" s="1783">
        <f t="shared" si="23"/>
        <v>0</v>
      </c>
      <c r="Q16" s="1794">
        <f t="shared" ref="Q16:Q29" si="25">P16/G16*100</f>
        <v>0</v>
      </c>
      <c r="R16" s="1785">
        <f t="shared" si="3"/>
        <v>-14113.5</v>
      </c>
      <c r="S16" s="3067"/>
      <c r="T16" s="537"/>
      <c r="U16" s="1440"/>
      <c r="V16" s="1440"/>
      <c r="W16" s="1440"/>
      <c r="X16" s="1440"/>
      <c r="Y16" s="1440"/>
      <c r="Z16" s="1440"/>
      <c r="AA16" s="1440"/>
      <c r="AB16" s="1440"/>
      <c r="AC16" s="1440"/>
      <c r="AD16" s="1440"/>
      <c r="AE16" s="1440"/>
    </row>
    <row r="17" spans="1:31" s="1796" customFormat="1" ht="14.1" customHeight="1" x14ac:dyDescent="0.2">
      <c r="A17" s="3064"/>
      <c r="B17" s="588" t="s">
        <v>14</v>
      </c>
      <c r="C17" s="3069"/>
      <c r="D17" s="1788">
        <f>D26</f>
        <v>63606</v>
      </c>
      <c r="E17" s="1789">
        <f t="shared" ref="E17:H17" si="26">E26</f>
        <v>0</v>
      </c>
      <c r="F17" s="1789">
        <f t="shared" si="26"/>
        <v>0</v>
      </c>
      <c r="G17" s="1790">
        <f t="shared" si="26"/>
        <v>56454</v>
      </c>
      <c r="H17" s="1791">
        <f t="shared" si="26"/>
        <v>7152</v>
      </c>
      <c r="I17" s="1788">
        <f>I26</f>
        <v>63606</v>
      </c>
      <c r="J17" s="1789">
        <f t="shared" ref="J17:M17" si="27">J26</f>
        <v>0</v>
      </c>
      <c r="K17" s="1789">
        <f t="shared" si="27"/>
        <v>0</v>
      </c>
      <c r="L17" s="1790">
        <f t="shared" si="27"/>
        <v>56454</v>
      </c>
      <c r="M17" s="1791">
        <f t="shared" si="27"/>
        <v>7152</v>
      </c>
      <c r="N17" s="1790">
        <f t="shared" ref="N17" si="28">N26</f>
        <v>0</v>
      </c>
      <c r="O17" s="1795">
        <f t="shared" si="6"/>
        <v>0</v>
      </c>
      <c r="P17" s="1790">
        <f t="shared" ref="P17" si="29">P26</f>
        <v>0</v>
      </c>
      <c r="Q17" s="1795">
        <f t="shared" si="25"/>
        <v>0</v>
      </c>
      <c r="R17" s="1792">
        <f t="shared" si="3"/>
        <v>-14113.5</v>
      </c>
      <c r="S17" s="3067"/>
      <c r="T17" s="537"/>
      <c r="U17" s="239"/>
      <c r="V17" s="239"/>
      <c r="W17" s="239"/>
      <c r="X17" s="239"/>
      <c r="Y17" s="239"/>
      <c r="Z17" s="239"/>
      <c r="AA17" s="239"/>
      <c r="AB17" s="239"/>
      <c r="AC17" s="239"/>
      <c r="AD17" s="239"/>
      <c r="AE17" s="239"/>
    </row>
    <row r="18" spans="1:31" s="1796" customFormat="1" ht="14.1" customHeight="1" x14ac:dyDescent="0.2">
      <c r="A18" s="3064"/>
      <c r="B18" s="565" t="s">
        <v>17</v>
      </c>
      <c r="C18" s="1797"/>
      <c r="D18" s="1798">
        <f t="shared" ref="D18:H18" si="30">+D19</f>
        <v>63606</v>
      </c>
      <c r="E18" s="1799">
        <f t="shared" si="30"/>
        <v>0</v>
      </c>
      <c r="F18" s="1799">
        <f t="shared" si="30"/>
        <v>0</v>
      </c>
      <c r="G18" s="1474">
        <f t="shared" si="30"/>
        <v>50885</v>
      </c>
      <c r="H18" s="1476">
        <f t="shared" si="30"/>
        <v>12721</v>
      </c>
      <c r="I18" s="1798">
        <f t="shared" ref="I18" si="31">+I19</f>
        <v>63606</v>
      </c>
      <c r="J18" s="1799">
        <f t="shared" ref="J18" si="32">+J19</f>
        <v>0</v>
      </c>
      <c r="K18" s="1799">
        <f t="shared" ref="K18" si="33">+K19</f>
        <v>0</v>
      </c>
      <c r="L18" s="1474">
        <f t="shared" ref="L18:P18" si="34">+L19</f>
        <v>50885</v>
      </c>
      <c r="M18" s="1476">
        <f t="shared" ref="M18" si="35">+M19</f>
        <v>12721</v>
      </c>
      <c r="N18" s="1474">
        <f t="shared" si="34"/>
        <v>50885</v>
      </c>
      <c r="O18" s="1699">
        <f t="shared" si="6"/>
        <v>80.000314435745054</v>
      </c>
      <c r="P18" s="1474">
        <f t="shared" si="34"/>
        <v>50885</v>
      </c>
      <c r="Q18" s="1699">
        <f t="shared" si="25"/>
        <v>100</v>
      </c>
      <c r="R18" s="1479">
        <f t="shared" si="3"/>
        <v>38163.75</v>
      </c>
      <c r="S18" s="3067"/>
      <c r="T18" s="537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</row>
    <row r="19" spans="1:31" s="1786" customFormat="1" ht="14.1" customHeight="1" x14ac:dyDescent="0.2">
      <c r="A19" s="3064"/>
      <c r="B19" s="1433" t="s">
        <v>13</v>
      </c>
      <c r="C19" s="3069"/>
      <c r="D19" s="1781">
        <f t="shared" ref="D19:P19" si="36">D20</f>
        <v>63606</v>
      </c>
      <c r="E19" s="1782">
        <f t="shared" si="36"/>
        <v>0</v>
      </c>
      <c r="F19" s="1782">
        <f t="shared" si="36"/>
        <v>0</v>
      </c>
      <c r="G19" s="1783">
        <f t="shared" si="36"/>
        <v>50885</v>
      </c>
      <c r="H19" s="1784">
        <f t="shared" si="36"/>
        <v>12721</v>
      </c>
      <c r="I19" s="1781">
        <f t="shared" si="36"/>
        <v>63606</v>
      </c>
      <c r="J19" s="1782">
        <f t="shared" si="36"/>
        <v>0</v>
      </c>
      <c r="K19" s="1782">
        <f t="shared" si="36"/>
        <v>0</v>
      </c>
      <c r="L19" s="1783">
        <f t="shared" si="36"/>
        <v>50885</v>
      </c>
      <c r="M19" s="1784">
        <f t="shared" si="36"/>
        <v>12721</v>
      </c>
      <c r="N19" s="1783">
        <f t="shared" si="36"/>
        <v>50885</v>
      </c>
      <c r="O19" s="1795">
        <f t="shared" si="6"/>
        <v>80.000314435745054</v>
      </c>
      <c r="P19" s="1783">
        <f t="shared" si="36"/>
        <v>50885</v>
      </c>
      <c r="Q19" s="1795">
        <f t="shared" si="25"/>
        <v>100</v>
      </c>
      <c r="R19" s="1785">
        <f t="shared" si="3"/>
        <v>38163.75</v>
      </c>
      <c r="S19" s="3067"/>
      <c r="T19" s="537"/>
      <c r="U19" s="1440"/>
      <c r="V19" s="1440"/>
      <c r="W19" s="1440"/>
      <c r="X19" s="1440"/>
      <c r="Y19" s="1440"/>
      <c r="Z19" s="1440"/>
      <c r="AA19" s="1440"/>
      <c r="AB19" s="1440"/>
      <c r="AC19" s="1440"/>
      <c r="AD19" s="1440"/>
      <c r="AE19" s="1440"/>
    </row>
    <row r="20" spans="1:31" s="1796" customFormat="1" ht="13.5" thickBot="1" x14ac:dyDescent="0.25">
      <c r="A20" s="3065"/>
      <c r="B20" s="1800" t="s">
        <v>14</v>
      </c>
      <c r="C20" s="3070"/>
      <c r="D20" s="1801">
        <f>D29</f>
        <v>63606</v>
      </c>
      <c r="E20" s="1802">
        <f t="shared" ref="E20:H20" si="37">E29</f>
        <v>0</v>
      </c>
      <c r="F20" s="1802">
        <f t="shared" si="37"/>
        <v>0</v>
      </c>
      <c r="G20" s="1803">
        <f t="shared" si="37"/>
        <v>50885</v>
      </c>
      <c r="H20" s="1804">
        <f t="shared" si="37"/>
        <v>12721</v>
      </c>
      <c r="I20" s="1801">
        <f>I29</f>
        <v>63606</v>
      </c>
      <c r="J20" s="1802">
        <f t="shared" ref="J20:M20" si="38">J29</f>
        <v>0</v>
      </c>
      <c r="K20" s="1802">
        <f t="shared" si="38"/>
        <v>0</v>
      </c>
      <c r="L20" s="1803">
        <f t="shared" si="38"/>
        <v>50885</v>
      </c>
      <c r="M20" s="1804">
        <f t="shared" si="38"/>
        <v>12721</v>
      </c>
      <c r="N20" s="1803">
        <f t="shared" ref="N20" si="39">N29</f>
        <v>50885</v>
      </c>
      <c r="O20" s="1795">
        <f t="shared" si="6"/>
        <v>80.000314435745054</v>
      </c>
      <c r="P20" s="1803">
        <f t="shared" ref="P20" si="40">P29</f>
        <v>50885</v>
      </c>
      <c r="Q20" s="1795">
        <f t="shared" si="25"/>
        <v>100</v>
      </c>
      <c r="R20" s="1805">
        <f t="shared" si="3"/>
        <v>38163.75</v>
      </c>
      <c r="S20" s="3068"/>
      <c r="T20" s="537"/>
      <c r="U20" s="239"/>
      <c r="V20" s="239"/>
      <c r="W20" s="239"/>
      <c r="X20" s="239"/>
      <c r="Y20" s="239"/>
      <c r="Z20" s="239"/>
      <c r="AA20" s="239"/>
      <c r="AB20" s="239"/>
      <c r="AC20" s="239"/>
      <c r="AD20" s="239"/>
      <c r="AE20" s="239"/>
    </row>
    <row r="21" spans="1:31" s="493" customFormat="1" ht="57.75" customHeight="1" x14ac:dyDescent="0.2">
      <c r="A21" s="3033" t="s">
        <v>40</v>
      </c>
      <c r="B21" s="1806" t="s">
        <v>293</v>
      </c>
      <c r="C21" s="1807" t="s">
        <v>233</v>
      </c>
      <c r="D21" s="1808"/>
      <c r="E21" s="1809"/>
      <c r="F21" s="1809"/>
      <c r="G21" s="1810"/>
      <c r="H21" s="1811"/>
      <c r="I21" s="1808"/>
      <c r="J21" s="1809"/>
      <c r="K21" s="1809"/>
      <c r="L21" s="1810"/>
      <c r="M21" s="1811"/>
      <c r="N21" s="1812"/>
      <c r="O21" s="1813"/>
      <c r="P21" s="1814"/>
      <c r="Q21" s="1813"/>
      <c r="R21" s="1810"/>
      <c r="S21" s="3073" t="s">
        <v>294</v>
      </c>
      <c r="T21" s="537"/>
      <c r="U21" s="537"/>
      <c r="W21" s="537"/>
    </row>
    <row r="22" spans="1:31" s="493" customFormat="1" ht="13.5" customHeight="1" x14ac:dyDescent="0.2">
      <c r="A22" s="3071"/>
      <c r="B22" s="1815" t="s">
        <v>3</v>
      </c>
      <c r="C22" s="1816"/>
      <c r="D22" s="1817">
        <f t="shared" ref="D22" si="41">+D23+D25</f>
        <v>84809</v>
      </c>
      <c r="E22" s="1818">
        <f>+E23+E25</f>
        <v>0</v>
      </c>
      <c r="F22" s="1819">
        <f>+F23+F25</f>
        <v>0</v>
      </c>
      <c r="G22" s="1820">
        <f t="shared" ref="G22:H22" si="42">+G23+G25</f>
        <v>75272</v>
      </c>
      <c r="H22" s="1821">
        <f t="shared" si="42"/>
        <v>9537</v>
      </c>
      <c r="I22" s="1817">
        <f t="shared" ref="I22:N22" si="43">+I23+I25</f>
        <v>84809</v>
      </c>
      <c r="J22" s="1818">
        <f>+J23+J25</f>
        <v>0</v>
      </c>
      <c r="K22" s="1819">
        <f t="shared" ref="K22" si="44">+K23+K25</f>
        <v>0</v>
      </c>
      <c r="L22" s="1819">
        <f t="shared" si="43"/>
        <v>75272</v>
      </c>
      <c r="M22" s="1822">
        <f t="shared" si="43"/>
        <v>9537</v>
      </c>
      <c r="N22" s="1823">
        <f t="shared" si="43"/>
        <v>0</v>
      </c>
      <c r="O22" s="1824">
        <f t="shared" si="6"/>
        <v>0</v>
      </c>
      <c r="P22" s="1823">
        <f>P23+P25</f>
        <v>0</v>
      </c>
      <c r="Q22" s="1824">
        <f t="shared" si="25"/>
        <v>0</v>
      </c>
      <c r="R22" s="1820">
        <f t="shared" ref="R22:R29" si="45">+P22-L22*0.25</f>
        <v>-18818</v>
      </c>
      <c r="S22" s="3074"/>
      <c r="T22" s="537"/>
      <c r="U22" s="537"/>
      <c r="W22" s="537"/>
    </row>
    <row r="23" spans="1:31" s="493" customFormat="1" ht="13.5" customHeight="1" x14ac:dyDescent="0.2">
      <c r="A23" s="3071"/>
      <c r="B23" s="1825" t="s">
        <v>18</v>
      </c>
      <c r="C23" s="3054" t="s">
        <v>263</v>
      </c>
      <c r="D23" s="774">
        <f t="shared" ref="D23:N23" si="46">+D24</f>
        <v>21203</v>
      </c>
      <c r="E23" s="802">
        <f t="shared" si="46"/>
        <v>0</v>
      </c>
      <c r="F23" s="802">
        <f t="shared" si="46"/>
        <v>0</v>
      </c>
      <c r="G23" s="775">
        <f t="shared" si="46"/>
        <v>18818</v>
      </c>
      <c r="H23" s="876">
        <f t="shared" si="46"/>
        <v>2385</v>
      </c>
      <c r="I23" s="774">
        <f t="shared" si="46"/>
        <v>21203</v>
      </c>
      <c r="J23" s="802">
        <f t="shared" si="46"/>
        <v>0</v>
      </c>
      <c r="K23" s="802">
        <f t="shared" si="46"/>
        <v>0</v>
      </c>
      <c r="L23" s="775">
        <f t="shared" si="46"/>
        <v>18818</v>
      </c>
      <c r="M23" s="876">
        <f t="shared" si="46"/>
        <v>2385</v>
      </c>
      <c r="N23" s="811">
        <f t="shared" si="46"/>
        <v>0</v>
      </c>
      <c r="O23" s="872">
        <f t="shared" si="6"/>
        <v>0</v>
      </c>
      <c r="P23" s="1826">
        <f>P24</f>
        <v>0</v>
      </c>
      <c r="Q23" s="872">
        <f t="shared" si="25"/>
        <v>0</v>
      </c>
      <c r="R23" s="775">
        <f t="shared" si="45"/>
        <v>-4704.5</v>
      </c>
      <c r="S23" s="3074"/>
      <c r="T23" s="537"/>
      <c r="U23" s="537"/>
      <c r="W23" s="537"/>
    </row>
    <row r="24" spans="1:31" s="493" customFormat="1" ht="13.5" customHeight="1" x14ac:dyDescent="0.2">
      <c r="A24" s="3071"/>
      <c r="B24" s="696" t="s">
        <v>5</v>
      </c>
      <c r="C24" s="3055"/>
      <c r="D24" s="1827">
        <f>+E24+F24+G24+H24</f>
        <v>21203</v>
      </c>
      <c r="E24" s="698">
        <v>0</v>
      </c>
      <c r="F24" s="698">
        <v>0</v>
      </c>
      <c r="G24" s="699">
        <v>18818</v>
      </c>
      <c r="H24" s="1828">
        <v>2385</v>
      </c>
      <c r="I24" s="1827">
        <f>+J24+K24+L24+M24</f>
        <v>21203</v>
      </c>
      <c r="J24" s="698">
        <v>0</v>
      </c>
      <c r="K24" s="698">
        <v>0</v>
      </c>
      <c r="L24" s="699">
        <v>18818</v>
      </c>
      <c r="M24" s="1828">
        <v>2385</v>
      </c>
      <c r="N24" s="1829">
        <f>P24+J24+K24</f>
        <v>0</v>
      </c>
      <c r="O24" s="702">
        <f t="shared" si="6"/>
        <v>0</v>
      </c>
      <c r="P24" s="699">
        <v>0</v>
      </c>
      <c r="Q24" s="702">
        <f t="shared" si="25"/>
        <v>0</v>
      </c>
      <c r="R24" s="699">
        <f t="shared" si="45"/>
        <v>-4704.5</v>
      </c>
      <c r="S24" s="3074"/>
      <c r="T24" s="537"/>
      <c r="U24" s="537"/>
      <c r="W24" s="537"/>
    </row>
    <row r="25" spans="1:31" s="493" customFormat="1" ht="13.5" customHeight="1" x14ac:dyDescent="0.2">
      <c r="A25" s="3071"/>
      <c r="B25" s="703" t="s">
        <v>13</v>
      </c>
      <c r="C25" s="3055"/>
      <c r="D25" s="704">
        <f t="shared" ref="D25:N25" si="47">+D26</f>
        <v>63606</v>
      </c>
      <c r="E25" s="853">
        <f t="shared" si="47"/>
        <v>0</v>
      </c>
      <c r="F25" s="853">
        <f t="shared" si="47"/>
        <v>0</v>
      </c>
      <c r="G25" s="821">
        <f t="shared" si="47"/>
        <v>56454</v>
      </c>
      <c r="H25" s="822">
        <f t="shared" si="47"/>
        <v>7152</v>
      </c>
      <c r="I25" s="704">
        <f t="shared" si="47"/>
        <v>63606</v>
      </c>
      <c r="J25" s="853">
        <f t="shared" si="47"/>
        <v>0</v>
      </c>
      <c r="K25" s="853">
        <f t="shared" si="47"/>
        <v>0</v>
      </c>
      <c r="L25" s="821">
        <f t="shared" si="47"/>
        <v>56454</v>
      </c>
      <c r="M25" s="822">
        <f t="shared" si="47"/>
        <v>7152</v>
      </c>
      <c r="N25" s="847">
        <f t="shared" si="47"/>
        <v>0</v>
      </c>
      <c r="O25" s="823">
        <f t="shared" si="6"/>
        <v>0</v>
      </c>
      <c r="P25" s="1109">
        <f>P26</f>
        <v>0</v>
      </c>
      <c r="Q25" s="823">
        <f>P25/G25*100</f>
        <v>0</v>
      </c>
      <c r="R25" s="821">
        <f t="shared" si="45"/>
        <v>-14113.5</v>
      </c>
      <c r="S25" s="3074"/>
      <c r="T25" s="537"/>
      <c r="U25" s="537"/>
      <c r="W25" s="537"/>
    </row>
    <row r="26" spans="1:31" s="493" customFormat="1" ht="13.5" customHeight="1" x14ac:dyDescent="0.2">
      <c r="A26" s="3071"/>
      <c r="B26" s="1830" t="s">
        <v>14</v>
      </c>
      <c r="C26" s="3076"/>
      <c r="D26" s="1827">
        <f>+E26+F26+G26+H26</f>
        <v>63606</v>
      </c>
      <c r="E26" s="698">
        <v>0</v>
      </c>
      <c r="F26" s="1831">
        <v>0</v>
      </c>
      <c r="G26" s="1371">
        <v>56454</v>
      </c>
      <c r="H26" s="1358">
        <v>7152</v>
      </c>
      <c r="I26" s="1827">
        <f>+J26+K26+L26+M26</f>
        <v>63606</v>
      </c>
      <c r="J26" s="698">
        <v>0</v>
      </c>
      <c r="K26" s="1831">
        <v>0</v>
      </c>
      <c r="L26" s="1371">
        <v>56454</v>
      </c>
      <c r="M26" s="1358">
        <v>7152</v>
      </c>
      <c r="N26" s="1829">
        <f>P26+J26+K26</f>
        <v>0</v>
      </c>
      <c r="O26" s="1832">
        <f t="shared" si="6"/>
        <v>0</v>
      </c>
      <c r="P26" s="1833">
        <v>0</v>
      </c>
      <c r="Q26" s="1832">
        <f t="shared" si="25"/>
        <v>0</v>
      </c>
      <c r="R26" s="1371">
        <f t="shared" si="45"/>
        <v>-14113.5</v>
      </c>
      <c r="S26" s="3074"/>
      <c r="T26" s="537"/>
      <c r="U26" s="537"/>
      <c r="W26" s="537"/>
    </row>
    <row r="27" spans="1:31" s="493" customFormat="1" ht="13.5" customHeight="1" x14ac:dyDescent="0.2">
      <c r="A27" s="3071"/>
      <c r="B27" s="565" t="s">
        <v>17</v>
      </c>
      <c r="C27" s="1816"/>
      <c r="D27" s="1834">
        <f>+D28</f>
        <v>63606</v>
      </c>
      <c r="E27" s="1818">
        <f t="shared" ref="E27:H28" si="48">+E28</f>
        <v>0</v>
      </c>
      <c r="F27" s="1819">
        <f t="shared" si="48"/>
        <v>0</v>
      </c>
      <c r="G27" s="1820">
        <f t="shared" si="48"/>
        <v>50885</v>
      </c>
      <c r="H27" s="1821">
        <f t="shared" si="48"/>
        <v>12721</v>
      </c>
      <c r="I27" s="1834">
        <f>+I28</f>
        <v>63606</v>
      </c>
      <c r="J27" s="1818">
        <f t="shared" ref="J27:M28" si="49">+J28</f>
        <v>0</v>
      </c>
      <c r="K27" s="1819">
        <f t="shared" si="49"/>
        <v>0</v>
      </c>
      <c r="L27" s="1820">
        <f t="shared" si="49"/>
        <v>50885</v>
      </c>
      <c r="M27" s="1821">
        <f t="shared" si="49"/>
        <v>12721</v>
      </c>
      <c r="N27" s="1835">
        <f>N28</f>
        <v>50885</v>
      </c>
      <c r="O27" s="830">
        <f t="shared" si="6"/>
        <v>80.000314435745054</v>
      </c>
      <c r="P27" s="828">
        <f>P28</f>
        <v>50885</v>
      </c>
      <c r="Q27" s="830">
        <f t="shared" si="25"/>
        <v>100</v>
      </c>
      <c r="R27" s="1820">
        <f t="shared" si="45"/>
        <v>38163.75</v>
      </c>
      <c r="S27" s="3074"/>
      <c r="T27" s="537"/>
      <c r="U27" s="537"/>
      <c r="W27" s="537"/>
    </row>
    <row r="28" spans="1:31" s="1842" customFormat="1" ht="12.75" customHeight="1" x14ac:dyDescent="0.2">
      <c r="A28" s="3071"/>
      <c r="B28" s="1836" t="s">
        <v>13</v>
      </c>
      <c r="C28" s="3077" t="s">
        <v>264</v>
      </c>
      <c r="D28" s="1837">
        <f>+D29</f>
        <v>63606</v>
      </c>
      <c r="E28" s="706">
        <f t="shared" si="48"/>
        <v>0</v>
      </c>
      <c r="F28" s="706">
        <f t="shared" si="48"/>
        <v>0</v>
      </c>
      <c r="G28" s="705">
        <f t="shared" si="48"/>
        <v>50885</v>
      </c>
      <c r="H28" s="825">
        <f t="shared" si="48"/>
        <v>12721</v>
      </c>
      <c r="I28" s="1837">
        <f>+I29</f>
        <v>63606</v>
      </c>
      <c r="J28" s="706">
        <f t="shared" si="49"/>
        <v>0</v>
      </c>
      <c r="K28" s="706">
        <f t="shared" si="49"/>
        <v>0</v>
      </c>
      <c r="L28" s="705">
        <f t="shared" si="49"/>
        <v>50885</v>
      </c>
      <c r="M28" s="825">
        <f t="shared" si="49"/>
        <v>12721</v>
      </c>
      <c r="N28" s="1838">
        <f>N29</f>
        <v>50885</v>
      </c>
      <c r="O28" s="1839">
        <f t="shared" si="6"/>
        <v>80.000314435745054</v>
      </c>
      <c r="P28" s="1840">
        <f>P29</f>
        <v>50885</v>
      </c>
      <c r="Q28" s="1839">
        <f t="shared" si="25"/>
        <v>100</v>
      </c>
      <c r="R28" s="705">
        <f t="shared" si="45"/>
        <v>38163.75</v>
      </c>
      <c r="S28" s="3074"/>
      <c r="T28" s="537"/>
      <c r="U28" s="1841"/>
      <c r="W28" s="1841"/>
    </row>
    <row r="29" spans="1:31" s="493" customFormat="1" ht="17.25" customHeight="1" thickBot="1" x14ac:dyDescent="0.25">
      <c r="A29" s="3072"/>
      <c r="B29" s="1843" t="s">
        <v>14</v>
      </c>
      <c r="C29" s="3056"/>
      <c r="D29" s="718">
        <f>+E29+F29+G29+H29</f>
        <v>63606</v>
      </c>
      <c r="E29" s="719">
        <v>0</v>
      </c>
      <c r="F29" s="719">
        <v>0</v>
      </c>
      <c r="G29" s="720">
        <v>50885</v>
      </c>
      <c r="H29" s="1116">
        <v>12721</v>
      </c>
      <c r="I29" s="718">
        <f>+J29+K29+L29+M29</f>
        <v>63606</v>
      </c>
      <c r="J29" s="719">
        <v>0</v>
      </c>
      <c r="K29" s="719">
        <v>0</v>
      </c>
      <c r="L29" s="720">
        <v>50885</v>
      </c>
      <c r="M29" s="1116">
        <v>12721</v>
      </c>
      <c r="N29" s="1844">
        <f>P29+J29+K29</f>
        <v>50885</v>
      </c>
      <c r="O29" s="1845">
        <f t="shared" si="6"/>
        <v>80.000314435745054</v>
      </c>
      <c r="P29" s="1117">
        <v>50885</v>
      </c>
      <c r="Q29" s="1845">
        <f t="shared" si="25"/>
        <v>100</v>
      </c>
      <c r="R29" s="720">
        <f t="shared" si="45"/>
        <v>38163.75</v>
      </c>
      <c r="S29" s="3075"/>
      <c r="T29" s="537"/>
      <c r="U29" s="537"/>
      <c r="W29" s="537"/>
    </row>
    <row r="30" spans="1:31" s="493" customFormat="1" ht="45.75" customHeight="1" thickBot="1" x14ac:dyDescent="0.25">
      <c r="A30" s="3060" t="s">
        <v>292</v>
      </c>
      <c r="B30" s="3061"/>
      <c r="C30" s="3061"/>
      <c r="D30" s="3061"/>
      <c r="E30" s="3061"/>
      <c r="F30" s="3061"/>
      <c r="G30" s="3061"/>
      <c r="H30" s="3061"/>
      <c r="I30" s="3061"/>
      <c r="J30" s="3061"/>
      <c r="K30" s="3061"/>
      <c r="L30" s="3061"/>
      <c r="M30" s="3061"/>
      <c r="N30" s="3061"/>
      <c r="O30" s="3061"/>
      <c r="P30" s="3061"/>
      <c r="Q30" s="3061"/>
      <c r="R30" s="3061"/>
      <c r="S30" s="3062"/>
      <c r="T30" s="537"/>
      <c r="U30" s="537"/>
      <c r="W30" s="537"/>
    </row>
    <row r="31" spans="1:31" s="493" customFormat="1" ht="20.25" customHeight="1" thickBot="1" x14ac:dyDescent="0.25">
      <c r="A31" s="263"/>
      <c r="B31" s="264" t="s">
        <v>220</v>
      </c>
      <c r="C31" s="509"/>
      <c r="D31" s="38">
        <f t="shared" ref="D31:H31" si="50">D32+D33</f>
        <v>17500533</v>
      </c>
      <c r="E31" s="34">
        <f t="shared" si="50"/>
        <v>11101413</v>
      </c>
      <c r="F31" s="34">
        <f t="shared" si="50"/>
        <v>300000</v>
      </c>
      <c r="G31" s="34">
        <f t="shared" si="50"/>
        <v>3085853</v>
      </c>
      <c r="H31" s="34">
        <f t="shared" si="50"/>
        <v>3013267</v>
      </c>
      <c r="I31" s="38">
        <f t="shared" ref="I31" si="51">I32+I33</f>
        <v>17492533</v>
      </c>
      <c r="J31" s="34">
        <f t="shared" ref="J31" si="52">J32+J33</f>
        <v>11101413</v>
      </c>
      <c r="K31" s="34">
        <f t="shared" ref="K31" si="53">K32+K33</f>
        <v>292000</v>
      </c>
      <c r="L31" s="34">
        <f t="shared" ref="L31" si="54">L32+L33</f>
        <v>3085853</v>
      </c>
      <c r="M31" s="34">
        <f t="shared" ref="M31" si="55">M32+M33</f>
        <v>3013267</v>
      </c>
      <c r="N31" s="38">
        <f t="shared" ref="N31" si="56">N32+N33</f>
        <v>12366665</v>
      </c>
      <c r="O31" s="156">
        <f>N31/D31*100</f>
        <v>70.664504903936347</v>
      </c>
      <c r="P31" s="34">
        <f>P32+P33</f>
        <v>973252</v>
      </c>
      <c r="Q31" s="156">
        <f>P31/G31*100</f>
        <v>31.539156272187952</v>
      </c>
      <c r="R31" s="36">
        <f t="shared" ref="R31:R67" si="57">+P31-L31*0.25</f>
        <v>201788.75</v>
      </c>
      <c r="S31" s="1846"/>
      <c r="T31" s="537"/>
      <c r="U31" s="537"/>
      <c r="W31" s="537"/>
    </row>
    <row r="32" spans="1:31" s="493" customFormat="1" ht="16.5" thickTop="1" thickBot="1" x14ac:dyDescent="0.25">
      <c r="A32" s="272"/>
      <c r="B32" s="273" t="s">
        <v>221</v>
      </c>
      <c r="C32" s="274"/>
      <c r="D32" s="278">
        <v>0</v>
      </c>
      <c r="E32" s="1847">
        <v>0</v>
      </c>
      <c r="F32" s="1847">
        <v>0</v>
      </c>
      <c r="G32" s="1847">
        <v>0</v>
      </c>
      <c r="H32" s="275">
        <v>0</v>
      </c>
      <c r="I32" s="276">
        <v>0</v>
      </c>
      <c r="J32" s="1847">
        <v>0</v>
      </c>
      <c r="K32" s="1847">
        <v>0</v>
      </c>
      <c r="L32" s="1847">
        <v>0</v>
      </c>
      <c r="M32" s="1847">
        <v>0</v>
      </c>
      <c r="N32" s="278">
        <v>0</v>
      </c>
      <c r="O32" s="519">
        <v>0</v>
      </c>
      <c r="P32" s="1847">
        <v>0</v>
      </c>
      <c r="Q32" s="519">
        <v>0</v>
      </c>
      <c r="R32" s="528">
        <f t="shared" si="57"/>
        <v>0</v>
      </c>
      <c r="S32" s="1846"/>
      <c r="T32" s="537"/>
      <c r="U32" s="537"/>
      <c r="W32" s="537"/>
    </row>
    <row r="33" spans="1:114" s="493" customFormat="1" ht="16.5" thickTop="1" thickBot="1" x14ac:dyDescent="0.25">
      <c r="A33" s="282"/>
      <c r="B33" s="283" t="s">
        <v>222</v>
      </c>
      <c r="C33" s="284"/>
      <c r="D33" s="1419">
        <f>D48+D52+D59</f>
        <v>17500533</v>
      </c>
      <c r="E33" s="286">
        <f t="shared" ref="E33:H33" si="58">E48+E52+E59</f>
        <v>11101413</v>
      </c>
      <c r="F33" s="286">
        <f t="shared" si="58"/>
        <v>300000</v>
      </c>
      <c r="G33" s="286">
        <f t="shared" si="58"/>
        <v>3085853</v>
      </c>
      <c r="H33" s="285">
        <f t="shared" si="58"/>
        <v>3013267</v>
      </c>
      <c r="I33" s="1848">
        <f>I48+I52+I59</f>
        <v>17492533</v>
      </c>
      <c r="J33" s="286">
        <f t="shared" ref="J33:P33" si="59">J48+J52+J59</f>
        <v>11101413</v>
      </c>
      <c r="K33" s="286">
        <f t="shared" si="59"/>
        <v>292000</v>
      </c>
      <c r="L33" s="286">
        <f t="shared" si="59"/>
        <v>3085853</v>
      </c>
      <c r="M33" s="525">
        <f t="shared" si="59"/>
        <v>3013267</v>
      </c>
      <c r="N33" s="1849">
        <f t="shared" si="59"/>
        <v>12366665</v>
      </c>
      <c r="O33" s="162">
        <f t="shared" ref="O33:O67" si="60">N33/D33*100</f>
        <v>70.664504903936347</v>
      </c>
      <c r="P33" s="286">
        <f t="shared" si="59"/>
        <v>973252</v>
      </c>
      <c r="Q33" s="162">
        <f t="shared" ref="Q33:Q67" si="61">P33/G33*100</f>
        <v>31.539156272187952</v>
      </c>
      <c r="R33" s="1133">
        <f t="shared" si="57"/>
        <v>201788.75</v>
      </c>
      <c r="S33" s="1850"/>
      <c r="T33" s="537"/>
      <c r="U33" s="537"/>
      <c r="W33" s="537"/>
    </row>
    <row r="34" spans="1:114" s="1753" customFormat="1" ht="13.5" customHeight="1" x14ac:dyDescent="0.2">
      <c r="A34" s="3042"/>
      <c r="B34" s="292" t="s">
        <v>3</v>
      </c>
      <c r="C34" s="1851"/>
      <c r="D34" s="1852">
        <f>+D35+D39</f>
        <v>32283011</v>
      </c>
      <c r="E34" s="294">
        <f>+E35+E39</f>
        <v>11101413</v>
      </c>
      <c r="F34" s="294">
        <f>F35+F39</f>
        <v>320000</v>
      </c>
      <c r="G34" s="294">
        <f>+G35+G39</f>
        <v>11503475</v>
      </c>
      <c r="H34" s="294">
        <f>+H35+H39</f>
        <v>9358123</v>
      </c>
      <c r="I34" s="295">
        <f>+I35+I39</f>
        <v>32275011</v>
      </c>
      <c r="J34" s="294">
        <f>+J35+J39</f>
        <v>11101413</v>
      </c>
      <c r="K34" s="294">
        <f>K35+K39</f>
        <v>312000</v>
      </c>
      <c r="L34" s="294">
        <f>+L35+L39</f>
        <v>11503475</v>
      </c>
      <c r="M34" s="1853">
        <f>+M35+M39</f>
        <v>9358123</v>
      </c>
      <c r="N34" s="1852">
        <f t="shared" ref="N34" si="62">P34+J34+K34</f>
        <v>12386665</v>
      </c>
      <c r="O34" s="1854">
        <f t="shared" si="60"/>
        <v>38.368989187532726</v>
      </c>
      <c r="P34" s="294">
        <f>P35+P39</f>
        <v>973252</v>
      </c>
      <c r="Q34" s="1854">
        <f t="shared" si="61"/>
        <v>8.4605043258667489</v>
      </c>
      <c r="R34" s="294">
        <f t="shared" ref="R34:R43" si="63">+P34-L34*0.25</f>
        <v>-1902616.75</v>
      </c>
      <c r="S34" s="3044" t="s">
        <v>97</v>
      </c>
      <c r="T34" s="470"/>
      <c r="U34" s="1752"/>
      <c r="V34" s="1752"/>
      <c r="W34" s="1752"/>
      <c r="X34" s="1752"/>
      <c r="Y34" s="1752"/>
      <c r="Z34" s="1752"/>
      <c r="AA34" s="1752"/>
      <c r="AB34" s="1752"/>
      <c r="AC34" s="1752"/>
      <c r="AD34" s="1752"/>
      <c r="AE34" s="1752"/>
      <c r="AF34" s="1752"/>
      <c r="AG34" s="1752"/>
      <c r="AH34" s="1752"/>
      <c r="AI34" s="1752"/>
      <c r="AJ34" s="1752"/>
      <c r="AK34" s="1752"/>
      <c r="AL34" s="1752"/>
      <c r="AM34" s="1752"/>
      <c r="AN34" s="1752"/>
      <c r="AO34" s="1752"/>
      <c r="AP34" s="1752"/>
      <c r="AQ34" s="1752"/>
      <c r="AR34" s="1752"/>
      <c r="AS34" s="1752"/>
      <c r="AT34" s="1752"/>
      <c r="AU34" s="1752"/>
      <c r="AV34" s="1752"/>
      <c r="AW34" s="1752"/>
      <c r="AX34" s="1752"/>
      <c r="AY34" s="1752"/>
      <c r="AZ34" s="1752"/>
      <c r="BA34" s="1752"/>
      <c r="BB34" s="1752"/>
      <c r="BC34" s="1752"/>
      <c r="BD34" s="1752"/>
      <c r="BE34" s="1752"/>
      <c r="BF34" s="1752"/>
      <c r="BG34" s="1752"/>
      <c r="BH34" s="1752"/>
      <c r="BI34" s="1752"/>
      <c r="BJ34" s="1752"/>
      <c r="BK34" s="1752"/>
      <c r="BL34" s="1752"/>
      <c r="BM34" s="1752"/>
      <c r="BN34" s="1752"/>
      <c r="BO34" s="1752"/>
      <c r="BP34" s="1752"/>
      <c r="BQ34" s="1752"/>
      <c r="BR34" s="1752"/>
      <c r="BS34" s="1752"/>
      <c r="BT34" s="1752"/>
      <c r="BU34" s="1752"/>
      <c r="BV34" s="1752"/>
      <c r="BW34" s="1752"/>
      <c r="BX34" s="1752"/>
      <c r="BY34" s="1752"/>
      <c r="BZ34" s="1752"/>
      <c r="CA34" s="1752"/>
      <c r="CB34" s="1752"/>
      <c r="CC34" s="1752"/>
      <c r="CD34" s="1752"/>
      <c r="CE34" s="1752"/>
      <c r="CF34" s="1752"/>
      <c r="CG34" s="1752"/>
      <c r="CH34" s="1752"/>
      <c r="CI34" s="1752"/>
      <c r="CJ34" s="1752"/>
      <c r="CK34" s="1752"/>
      <c r="CL34" s="1752"/>
      <c r="CM34" s="1752"/>
      <c r="CN34" s="1752"/>
      <c r="CO34" s="1752"/>
      <c r="CP34" s="1752"/>
      <c r="CQ34" s="1752"/>
      <c r="CR34" s="1752"/>
      <c r="CS34" s="1752"/>
      <c r="CT34" s="1752"/>
      <c r="CU34" s="1752"/>
      <c r="CV34" s="1752"/>
      <c r="CW34" s="1752"/>
      <c r="CX34" s="1752"/>
      <c r="CY34" s="1752"/>
      <c r="CZ34" s="1752"/>
      <c r="DA34" s="1752"/>
      <c r="DB34" s="1752"/>
      <c r="DC34" s="1752"/>
      <c r="DD34" s="1752"/>
      <c r="DE34" s="1752"/>
      <c r="DF34" s="1752"/>
      <c r="DG34" s="1752"/>
      <c r="DH34" s="1752"/>
      <c r="DI34" s="1752"/>
      <c r="DJ34" s="1752"/>
    </row>
    <row r="35" spans="1:114" s="1753" customFormat="1" ht="13.5" customHeight="1" x14ac:dyDescent="0.2">
      <c r="A35" s="3042"/>
      <c r="B35" s="1855" t="s">
        <v>18</v>
      </c>
      <c r="C35" s="3039"/>
      <c r="D35" s="1856">
        <f>D37+D36+D38</f>
        <v>21196153</v>
      </c>
      <c r="E35" s="1857">
        <f>E37+E36+E38</f>
        <v>11101413</v>
      </c>
      <c r="F35" s="1857">
        <f t="shared" ref="F35:H35" si="64">F37+F36+F38</f>
        <v>305000</v>
      </c>
      <c r="G35" s="1857">
        <f t="shared" si="64"/>
        <v>5190259</v>
      </c>
      <c r="H35" s="1857">
        <f t="shared" si="64"/>
        <v>4599481</v>
      </c>
      <c r="I35" s="1858">
        <f>I37+I36+I38</f>
        <v>21188153</v>
      </c>
      <c r="J35" s="1857">
        <f>J37+J36+J38</f>
        <v>11101413</v>
      </c>
      <c r="K35" s="1857">
        <f t="shared" ref="K35:P35" si="65">K37+K36+K38</f>
        <v>297000</v>
      </c>
      <c r="L35" s="1857">
        <f t="shared" si="65"/>
        <v>5190259</v>
      </c>
      <c r="M35" s="1859">
        <f t="shared" si="65"/>
        <v>4599481</v>
      </c>
      <c r="N35" s="1856">
        <f t="shared" si="65"/>
        <v>12371665</v>
      </c>
      <c r="O35" s="1860">
        <f t="shared" si="60"/>
        <v>58.367501876401818</v>
      </c>
      <c r="P35" s="1857">
        <f t="shared" si="65"/>
        <v>973252</v>
      </c>
      <c r="Q35" s="1860">
        <f t="shared" si="61"/>
        <v>18.751511244429228</v>
      </c>
      <c r="R35" s="1857">
        <f t="shared" si="63"/>
        <v>-324312.75</v>
      </c>
      <c r="S35" s="3045"/>
      <c r="T35" s="470"/>
      <c r="U35" s="1861"/>
      <c r="V35" s="1752"/>
      <c r="W35" s="1752"/>
      <c r="X35" s="1752"/>
      <c r="Y35" s="1752"/>
      <c r="Z35" s="1752"/>
      <c r="AA35" s="1752"/>
      <c r="AB35" s="1752"/>
      <c r="AC35" s="1752"/>
      <c r="AD35" s="1752"/>
      <c r="AE35" s="1752"/>
      <c r="AF35" s="1752"/>
      <c r="AG35" s="1752"/>
      <c r="AH35" s="1752"/>
      <c r="AI35" s="1752"/>
      <c r="AJ35" s="1752"/>
      <c r="AK35" s="1752"/>
      <c r="AL35" s="1752"/>
      <c r="AM35" s="1752"/>
      <c r="AN35" s="1752"/>
      <c r="AO35" s="1752"/>
      <c r="AP35" s="1752"/>
      <c r="AQ35" s="1752"/>
      <c r="AR35" s="1752"/>
      <c r="AS35" s="1752"/>
      <c r="AT35" s="1752"/>
      <c r="AU35" s="1752"/>
      <c r="AV35" s="1752"/>
      <c r="AW35" s="1752"/>
      <c r="AX35" s="1752"/>
      <c r="AY35" s="1752"/>
      <c r="AZ35" s="1752"/>
      <c r="BA35" s="1752"/>
      <c r="BB35" s="1752"/>
      <c r="BC35" s="1752"/>
      <c r="BD35" s="1752"/>
      <c r="BE35" s="1752"/>
      <c r="BF35" s="1752"/>
      <c r="BG35" s="1752"/>
      <c r="BH35" s="1752"/>
      <c r="BI35" s="1752"/>
      <c r="BJ35" s="1752"/>
      <c r="BK35" s="1752"/>
      <c r="BL35" s="1752"/>
      <c r="BM35" s="1752"/>
      <c r="BN35" s="1752"/>
      <c r="BO35" s="1752"/>
      <c r="BP35" s="1752"/>
      <c r="BQ35" s="1752"/>
      <c r="BR35" s="1752"/>
      <c r="BS35" s="1752"/>
      <c r="BT35" s="1752"/>
      <c r="BU35" s="1752"/>
      <c r="BV35" s="1752"/>
      <c r="BW35" s="1752"/>
      <c r="BX35" s="1752"/>
      <c r="BY35" s="1752"/>
      <c r="BZ35" s="1752"/>
      <c r="CA35" s="1752"/>
      <c r="CB35" s="1752"/>
      <c r="CC35" s="1752"/>
      <c r="CD35" s="1752"/>
      <c r="CE35" s="1752"/>
      <c r="CF35" s="1752"/>
      <c r="CG35" s="1752"/>
      <c r="CH35" s="1752"/>
      <c r="CI35" s="1752"/>
      <c r="CJ35" s="1752"/>
      <c r="CK35" s="1752"/>
      <c r="CL35" s="1752"/>
      <c r="CM35" s="1752"/>
      <c r="CN35" s="1752"/>
      <c r="CO35" s="1752"/>
      <c r="CP35" s="1752"/>
      <c r="CQ35" s="1752"/>
      <c r="CR35" s="1752"/>
      <c r="CS35" s="1752"/>
      <c r="CT35" s="1752"/>
      <c r="CU35" s="1752"/>
      <c r="CV35" s="1752"/>
      <c r="CW35" s="1752"/>
      <c r="CX35" s="1752"/>
      <c r="CY35" s="1752"/>
      <c r="CZ35" s="1752"/>
      <c r="DA35" s="1752"/>
      <c r="DB35" s="1752"/>
      <c r="DC35" s="1752"/>
      <c r="DD35" s="1752"/>
      <c r="DE35" s="1752"/>
      <c r="DF35" s="1752"/>
      <c r="DG35" s="1752"/>
      <c r="DH35" s="1752"/>
      <c r="DI35" s="1752"/>
      <c r="DJ35" s="1752"/>
    </row>
    <row r="36" spans="1:114" s="1753" customFormat="1" ht="13.5" customHeight="1" x14ac:dyDescent="0.2">
      <c r="A36" s="3042"/>
      <c r="B36" s="1862" t="s">
        <v>296</v>
      </c>
      <c r="C36" s="3039"/>
      <c r="D36" s="1863">
        <f t="shared" ref="D36:H36" si="66">D58</f>
        <v>3695620</v>
      </c>
      <c r="E36" s="1864">
        <f t="shared" si="66"/>
        <v>0</v>
      </c>
      <c r="F36" s="1864">
        <f t="shared" si="66"/>
        <v>5000</v>
      </c>
      <c r="G36" s="1864">
        <f t="shared" si="66"/>
        <v>2104406</v>
      </c>
      <c r="H36" s="1864">
        <f t="shared" si="66"/>
        <v>1586214</v>
      </c>
      <c r="I36" s="1865">
        <f t="shared" ref="I36:N36" si="67">I58</f>
        <v>3695620</v>
      </c>
      <c r="J36" s="1864">
        <f t="shared" si="67"/>
        <v>0</v>
      </c>
      <c r="K36" s="1864">
        <f t="shared" si="67"/>
        <v>5000</v>
      </c>
      <c r="L36" s="1864">
        <f t="shared" si="67"/>
        <v>2104406</v>
      </c>
      <c r="M36" s="1866">
        <f t="shared" si="67"/>
        <v>1586214</v>
      </c>
      <c r="N36" s="1863">
        <f t="shared" si="67"/>
        <v>5000</v>
      </c>
      <c r="O36" s="1867">
        <f t="shared" si="60"/>
        <v>0.13529529551198444</v>
      </c>
      <c r="P36" s="1864">
        <f t="shared" ref="P36" si="68">P58</f>
        <v>0</v>
      </c>
      <c r="Q36" s="1867">
        <f t="shared" si="61"/>
        <v>0</v>
      </c>
      <c r="R36" s="1864">
        <f t="shared" si="63"/>
        <v>-526101.5</v>
      </c>
      <c r="S36" s="3046"/>
      <c r="T36" s="470"/>
      <c r="U36" s="1861"/>
      <c r="V36" s="1752"/>
      <c r="W36" s="1752"/>
      <c r="X36" s="1752"/>
      <c r="Y36" s="1752"/>
      <c r="Z36" s="1752"/>
      <c r="AA36" s="1752"/>
      <c r="AB36" s="1752"/>
      <c r="AC36" s="1752"/>
      <c r="AD36" s="1752"/>
      <c r="AE36" s="1752"/>
      <c r="AF36" s="1752"/>
      <c r="AG36" s="1752"/>
      <c r="AH36" s="1752"/>
      <c r="AI36" s="1752"/>
      <c r="AJ36" s="1752"/>
      <c r="AK36" s="1752"/>
      <c r="AL36" s="1752"/>
      <c r="AM36" s="1752"/>
      <c r="AN36" s="1752"/>
      <c r="AO36" s="1752"/>
      <c r="AP36" s="1752"/>
      <c r="AQ36" s="1752"/>
      <c r="AR36" s="1752"/>
      <c r="AS36" s="1752"/>
      <c r="AT36" s="1752"/>
      <c r="AU36" s="1752"/>
      <c r="AV36" s="1752"/>
      <c r="AW36" s="1752"/>
      <c r="AX36" s="1752"/>
      <c r="AY36" s="1752"/>
      <c r="AZ36" s="1752"/>
      <c r="BA36" s="1752"/>
      <c r="BB36" s="1752"/>
      <c r="BC36" s="1752"/>
      <c r="BD36" s="1752"/>
      <c r="BE36" s="1752"/>
      <c r="BF36" s="1752"/>
      <c r="BG36" s="1752"/>
      <c r="BH36" s="1752"/>
      <c r="BI36" s="1752"/>
      <c r="BJ36" s="1752"/>
      <c r="BK36" s="1752"/>
      <c r="BL36" s="1752"/>
      <c r="BM36" s="1752"/>
      <c r="BN36" s="1752"/>
      <c r="BO36" s="1752"/>
      <c r="BP36" s="1752"/>
      <c r="BQ36" s="1752"/>
      <c r="BR36" s="1752"/>
      <c r="BS36" s="1752"/>
      <c r="BT36" s="1752"/>
      <c r="BU36" s="1752"/>
      <c r="BV36" s="1752"/>
      <c r="BW36" s="1752"/>
      <c r="BX36" s="1752"/>
      <c r="BY36" s="1752"/>
      <c r="BZ36" s="1752"/>
      <c r="CA36" s="1752"/>
      <c r="CB36" s="1752"/>
      <c r="CC36" s="1752"/>
      <c r="CD36" s="1752"/>
      <c r="CE36" s="1752"/>
      <c r="CF36" s="1752"/>
      <c r="CG36" s="1752"/>
      <c r="CH36" s="1752"/>
      <c r="CI36" s="1752"/>
      <c r="CJ36" s="1752"/>
      <c r="CK36" s="1752"/>
      <c r="CL36" s="1752"/>
      <c r="CM36" s="1752"/>
      <c r="CN36" s="1752"/>
      <c r="CO36" s="1752"/>
      <c r="CP36" s="1752"/>
      <c r="CQ36" s="1752"/>
      <c r="CR36" s="1752"/>
      <c r="CS36" s="1752"/>
      <c r="CT36" s="1752"/>
      <c r="CU36" s="1752"/>
      <c r="CV36" s="1752"/>
      <c r="CW36" s="1752"/>
      <c r="CX36" s="1752"/>
      <c r="CY36" s="1752"/>
      <c r="CZ36" s="1752"/>
      <c r="DA36" s="1752"/>
      <c r="DB36" s="1752"/>
      <c r="DC36" s="1752"/>
      <c r="DD36" s="1752"/>
      <c r="DE36" s="1752"/>
      <c r="DF36" s="1752"/>
      <c r="DG36" s="1752"/>
      <c r="DH36" s="1752"/>
      <c r="DI36" s="1752"/>
      <c r="DJ36" s="1752"/>
    </row>
    <row r="37" spans="1:114" s="1753" customFormat="1" ht="13.5" customHeight="1" x14ac:dyDescent="0.2">
      <c r="A37" s="3042"/>
      <c r="B37" s="1862" t="s">
        <v>299</v>
      </c>
      <c r="C37" s="3040"/>
      <c r="D37" s="1863">
        <f>D59</f>
        <v>4916470</v>
      </c>
      <c r="E37" s="1864">
        <f t="shared" ref="E37:H37" si="69">E59</f>
        <v>0</v>
      </c>
      <c r="F37" s="1864">
        <f t="shared" si="69"/>
        <v>0</v>
      </c>
      <c r="G37" s="1864">
        <f t="shared" si="69"/>
        <v>3085853</v>
      </c>
      <c r="H37" s="1864">
        <f t="shared" si="69"/>
        <v>1830617</v>
      </c>
      <c r="I37" s="1865">
        <f>I59</f>
        <v>4916470</v>
      </c>
      <c r="J37" s="1864">
        <f t="shared" ref="J37:N37" si="70">J59</f>
        <v>0</v>
      </c>
      <c r="K37" s="1864">
        <f t="shared" si="70"/>
        <v>0</v>
      </c>
      <c r="L37" s="1864">
        <f t="shared" si="70"/>
        <v>3085853</v>
      </c>
      <c r="M37" s="1866">
        <f t="shared" si="70"/>
        <v>1830617</v>
      </c>
      <c r="N37" s="1863">
        <f t="shared" si="70"/>
        <v>973252</v>
      </c>
      <c r="O37" s="1867">
        <f t="shared" si="60"/>
        <v>19.795747762113873</v>
      </c>
      <c r="P37" s="1864">
        <f t="shared" ref="P37" si="71">P59</f>
        <v>973252</v>
      </c>
      <c r="Q37" s="1867">
        <f t="shared" si="61"/>
        <v>31.539156272187952</v>
      </c>
      <c r="R37" s="1864">
        <f t="shared" si="63"/>
        <v>201788.75</v>
      </c>
      <c r="S37" s="3046"/>
      <c r="T37" s="470"/>
      <c r="U37" s="1861"/>
      <c r="V37" s="1752"/>
      <c r="W37" s="1752"/>
      <c r="X37" s="1752"/>
      <c r="Y37" s="1752"/>
      <c r="Z37" s="1752"/>
      <c r="AA37" s="1752"/>
      <c r="AB37" s="1752"/>
      <c r="AC37" s="1752"/>
      <c r="AD37" s="1752"/>
      <c r="AE37" s="1752"/>
      <c r="AF37" s="1752"/>
      <c r="AG37" s="1752"/>
      <c r="AH37" s="1752"/>
      <c r="AI37" s="1752"/>
      <c r="AJ37" s="1752"/>
      <c r="AK37" s="1752"/>
      <c r="AL37" s="1752"/>
      <c r="AM37" s="1752"/>
      <c r="AN37" s="1752"/>
      <c r="AO37" s="1752"/>
      <c r="AP37" s="1752"/>
      <c r="AQ37" s="1752"/>
      <c r="AR37" s="1752"/>
      <c r="AS37" s="1752"/>
      <c r="AT37" s="1752"/>
      <c r="AU37" s="1752"/>
      <c r="AV37" s="1752"/>
      <c r="AW37" s="1752"/>
      <c r="AX37" s="1752"/>
      <c r="AY37" s="1752"/>
      <c r="AZ37" s="1752"/>
      <c r="BA37" s="1752"/>
      <c r="BB37" s="1752"/>
      <c r="BC37" s="1752"/>
      <c r="BD37" s="1752"/>
      <c r="BE37" s="1752"/>
      <c r="BF37" s="1752"/>
      <c r="BG37" s="1752"/>
      <c r="BH37" s="1752"/>
      <c r="BI37" s="1752"/>
      <c r="BJ37" s="1752"/>
      <c r="BK37" s="1752"/>
      <c r="BL37" s="1752"/>
      <c r="BM37" s="1752"/>
      <c r="BN37" s="1752"/>
      <c r="BO37" s="1752"/>
      <c r="BP37" s="1752"/>
      <c r="BQ37" s="1752"/>
      <c r="BR37" s="1752"/>
      <c r="BS37" s="1752"/>
      <c r="BT37" s="1752"/>
      <c r="BU37" s="1752"/>
      <c r="BV37" s="1752"/>
      <c r="BW37" s="1752"/>
      <c r="BX37" s="1752"/>
      <c r="BY37" s="1752"/>
      <c r="BZ37" s="1752"/>
      <c r="CA37" s="1752"/>
      <c r="CB37" s="1752"/>
      <c r="CC37" s="1752"/>
      <c r="CD37" s="1752"/>
      <c r="CE37" s="1752"/>
      <c r="CF37" s="1752"/>
      <c r="CG37" s="1752"/>
      <c r="CH37" s="1752"/>
      <c r="CI37" s="1752"/>
      <c r="CJ37" s="1752"/>
      <c r="CK37" s="1752"/>
      <c r="CL37" s="1752"/>
      <c r="CM37" s="1752"/>
      <c r="CN37" s="1752"/>
      <c r="CO37" s="1752"/>
      <c r="CP37" s="1752"/>
      <c r="CQ37" s="1752"/>
      <c r="CR37" s="1752"/>
      <c r="CS37" s="1752"/>
      <c r="CT37" s="1752"/>
      <c r="CU37" s="1752"/>
      <c r="CV37" s="1752"/>
      <c r="CW37" s="1752"/>
      <c r="CX37" s="1752"/>
      <c r="CY37" s="1752"/>
      <c r="CZ37" s="1752"/>
      <c r="DA37" s="1752"/>
      <c r="DB37" s="1752"/>
      <c r="DC37" s="1752"/>
      <c r="DD37" s="1752"/>
      <c r="DE37" s="1752"/>
      <c r="DF37" s="1752"/>
      <c r="DG37" s="1752"/>
      <c r="DH37" s="1752"/>
      <c r="DI37" s="1752"/>
      <c r="DJ37" s="1752"/>
    </row>
    <row r="38" spans="1:114" s="1753" customFormat="1" ht="13.5" customHeight="1" x14ac:dyDescent="0.2">
      <c r="A38" s="3042"/>
      <c r="B38" s="1862" t="s">
        <v>5</v>
      </c>
      <c r="C38" s="3040"/>
      <c r="D38" s="1863">
        <f t="shared" ref="D38:H38" si="72">D50+D54</f>
        <v>12584063</v>
      </c>
      <c r="E38" s="1864">
        <f t="shared" si="72"/>
        <v>11101413</v>
      </c>
      <c r="F38" s="1864">
        <f t="shared" si="72"/>
        <v>300000</v>
      </c>
      <c r="G38" s="1868">
        <f t="shared" si="72"/>
        <v>0</v>
      </c>
      <c r="H38" s="1864">
        <f t="shared" si="72"/>
        <v>1182650</v>
      </c>
      <c r="I38" s="1865">
        <f t="shared" ref="I38:N38" si="73">I50+I54</f>
        <v>12576063</v>
      </c>
      <c r="J38" s="1864">
        <f t="shared" si="73"/>
        <v>11101413</v>
      </c>
      <c r="K38" s="1864">
        <f t="shared" si="73"/>
        <v>292000</v>
      </c>
      <c r="L38" s="1864">
        <f t="shared" si="73"/>
        <v>0</v>
      </c>
      <c r="M38" s="1866">
        <f t="shared" si="73"/>
        <v>1182650</v>
      </c>
      <c r="N38" s="1863">
        <f t="shared" si="73"/>
        <v>11393413</v>
      </c>
      <c r="O38" s="1867">
        <f t="shared" si="60"/>
        <v>90.538429440475625</v>
      </c>
      <c r="P38" s="1864">
        <f t="shared" ref="P38" si="74">P50+P54</f>
        <v>0</v>
      </c>
      <c r="Q38" s="1868">
        <v>0</v>
      </c>
      <c r="R38" s="1864"/>
      <c r="S38" s="3046"/>
      <c r="T38" s="470"/>
      <c r="U38" s="1861"/>
      <c r="V38" s="1752"/>
      <c r="W38" s="1752"/>
      <c r="X38" s="1752"/>
      <c r="Y38" s="1752"/>
      <c r="Z38" s="1752"/>
      <c r="AA38" s="1752"/>
      <c r="AB38" s="1752"/>
      <c r="AC38" s="1752"/>
      <c r="AD38" s="1752"/>
      <c r="AE38" s="1752"/>
      <c r="AF38" s="1752"/>
      <c r="AG38" s="1752"/>
      <c r="AH38" s="1752"/>
      <c r="AI38" s="1752"/>
      <c r="AJ38" s="1752"/>
      <c r="AK38" s="1752"/>
      <c r="AL38" s="1752"/>
      <c r="AM38" s="1752"/>
      <c r="AN38" s="1752"/>
      <c r="AO38" s="1752"/>
      <c r="AP38" s="1752"/>
      <c r="AQ38" s="1752"/>
      <c r="AR38" s="1752"/>
      <c r="AS38" s="1752"/>
      <c r="AT38" s="1752"/>
      <c r="AU38" s="1752"/>
      <c r="AV38" s="1752"/>
      <c r="AW38" s="1752"/>
      <c r="AX38" s="1752"/>
      <c r="AY38" s="1752"/>
      <c r="AZ38" s="1752"/>
      <c r="BA38" s="1752"/>
      <c r="BB38" s="1752"/>
      <c r="BC38" s="1752"/>
      <c r="BD38" s="1752"/>
      <c r="BE38" s="1752"/>
      <c r="BF38" s="1752"/>
      <c r="BG38" s="1752"/>
      <c r="BH38" s="1752"/>
      <c r="BI38" s="1752"/>
      <c r="BJ38" s="1752"/>
      <c r="BK38" s="1752"/>
      <c r="BL38" s="1752"/>
      <c r="BM38" s="1752"/>
      <c r="BN38" s="1752"/>
      <c r="BO38" s="1752"/>
      <c r="BP38" s="1752"/>
      <c r="BQ38" s="1752"/>
      <c r="BR38" s="1752"/>
      <c r="BS38" s="1752"/>
      <c r="BT38" s="1752"/>
      <c r="BU38" s="1752"/>
      <c r="BV38" s="1752"/>
      <c r="BW38" s="1752"/>
      <c r="BX38" s="1752"/>
      <c r="BY38" s="1752"/>
      <c r="BZ38" s="1752"/>
      <c r="CA38" s="1752"/>
      <c r="CB38" s="1752"/>
      <c r="CC38" s="1752"/>
      <c r="CD38" s="1752"/>
      <c r="CE38" s="1752"/>
      <c r="CF38" s="1752"/>
      <c r="CG38" s="1752"/>
      <c r="CH38" s="1752"/>
      <c r="CI38" s="1752"/>
      <c r="CJ38" s="1752"/>
      <c r="CK38" s="1752"/>
      <c r="CL38" s="1752"/>
      <c r="CM38" s="1752"/>
      <c r="CN38" s="1752"/>
      <c r="CO38" s="1752"/>
      <c r="CP38" s="1752"/>
      <c r="CQ38" s="1752"/>
      <c r="CR38" s="1752"/>
      <c r="CS38" s="1752"/>
      <c r="CT38" s="1752"/>
      <c r="CU38" s="1752"/>
      <c r="CV38" s="1752"/>
      <c r="CW38" s="1752"/>
      <c r="CX38" s="1752"/>
      <c r="CY38" s="1752"/>
      <c r="CZ38" s="1752"/>
      <c r="DA38" s="1752"/>
      <c r="DB38" s="1752"/>
      <c r="DC38" s="1752"/>
      <c r="DD38" s="1752"/>
      <c r="DE38" s="1752"/>
      <c r="DF38" s="1752"/>
      <c r="DG38" s="1752"/>
      <c r="DH38" s="1752"/>
      <c r="DI38" s="1752"/>
      <c r="DJ38" s="1752"/>
    </row>
    <row r="39" spans="1:114" s="1753" customFormat="1" ht="13.5" customHeight="1" thickBot="1" x14ac:dyDescent="0.25">
      <c r="A39" s="3042"/>
      <c r="B39" s="1869" t="s">
        <v>13</v>
      </c>
      <c r="C39" s="3040"/>
      <c r="D39" s="1856">
        <f t="shared" ref="D39:M39" si="75">+D40</f>
        <v>11086858</v>
      </c>
      <c r="E39" s="1857">
        <f t="shared" si="75"/>
        <v>0</v>
      </c>
      <c r="F39" s="1857">
        <f t="shared" si="75"/>
        <v>15000</v>
      </c>
      <c r="G39" s="1857">
        <f t="shared" si="75"/>
        <v>6313216</v>
      </c>
      <c r="H39" s="1857">
        <f t="shared" si="75"/>
        <v>4758642</v>
      </c>
      <c r="I39" s="1858">
        <f t="shared" si="75"/>
        <v>11086858</v>
      </c>
      <c r="J39" s="1857">
        <f t="shared" si="75"/>
        <v>0</v>
      </c>
      <c r="K39" s="1857">
        <f t="shared" si="75"/>
        <v>15000</v>
      </c>
      <c r="L39" s="1857">
        <f t="shared" si="75"/>
        <v>6313216</v>
      </c>
      <c r="M39" s="1859">
        <f t="shared" si="75"/>
        <v>4758642</v>
      </c>
      <c r="N39" s="1856">
        <f>P39+J39+K39</f>
        <v>15000</v>
      </c>
      <c r="O39" s="1860">
        <f t="shared" si="60"/>
        <v>0.13529531991841151</v>
      </c>
      <c r="P39" s="1857">
        <f t="shared" ref="P39" si="76">+P40</f>
        <v>0</v>
      </c>
      <c r="Q39" s="1860">
        <f t="shared" si="61"/>
        <v>0</v>
      </c>
      <c r="R39" s="1857">
        <f t="shared" si="63"/>
        <v>-1578304</v>
      </c>
      <c r="S39" s="3047"/>
      <c r="T39" s="470"/>
      <c r="U39" s="1752"/>
      <c r="V39" s="1752"/>
      <c r="W39" s="1752"/>
      <c r="X39" s="1752"/>
      <c r="Y39" s="1752"/>
      <c r="Z39" s="1752"/>
      <c r="AA39" s="1752"/>
      <c r="AB39" s="1752"/>
      <c r="AC39" s="1752"/>
      <c r="AD39" s="1752"/>
      <c r="AE39" s="1752"/>
      <c r="AF39" s="1752"/>
      <c r="AG39" s="1752"/>
      <c r="AH39" s="1752"/>
      <c r="AI39" s="1752"/>
      <c r="AJ39" s="1752"/>
      <c r="AK39" s="1752"/>
      <c r="AL39" s="1752"/>
      <c r="AM39" s="1752"/>
      <c r="AN39" s="1752"/>
      <c r="AO39" s="1752"/>
      <c r="AP39" s="1752"/>
      <c r="AQ39" s="1752"/>
      <c r="AR39" s="1752"/>
      <c r="AS39" s="1752"/>
      <c r="AT39" s="1752"/>
      <c r="AU39" s="1752"/>
      <c r="AV39" s="1752"/>
      <c r="AW39" s="1752"/>
      <c r="AX39" s="1752"/>
      <c r="AY39" s="1752"/>
      <c r="AZ39" s="1752"/>
      <c r="BA39" s="1752"/>
      <c r="BB39" s="1752"/>
      <c r="BC39" s="1752"/>
      <c r="BD39" s="1752"/>
      <c r="BE39" s="1752"/>
      <c r="BF39" s="1752"/>
      <c r="BG39" s="1752"/>
      <c r="BH39" s="1752"/>
      <c r="BI39" s="1752"/>
      <c r="BJ39" s="1752"/>
      <c r="BK39" s="1752"/>
      <c r="BL39" s="1752"/>
      <c r="BM39" s="1752"/>
      <c r="BN39" s="1752"/>
      <c r="BO39" s="1752"/>
      <c r="BP39" s="1752"/>
      <c r="BQ39" s="1752"/>
      <c r="BR39" s="1752"/>
      <c r="BS39" s="1752"/>
      <c r="BT39" s="1752"/>
      <c r="BU39" s="1752"/>
      <c r="BV39" s="1752"/>
      <c r="BW39" s="1752"/>
      <c r="BX39" s="1752"/>
      <c r="BY39" s="1752"/>
      <c r="BZ39" s="1752"/>
      <c r="CA39" s="1752"/>
      <c r="CB39" s="1752"/>
      <c r="CC39" s="1752"/>
      <c r="CD39" s="1752"/>
      <c r="CE39" s="1752"/>
      <c r="CF39" s="1752"/>
      <c r="CG39" s="1752"/>
      <c r="CH39" s="1752"/>
      <c r="CI39" s="1752"/>
      <c r="CJ39" s="1752"/>
      <c r="CK39" s="1752"/>
      <c r="CL39" s="1752"/>
      <c r="CM39" s="1752"/>
      <c r="CN39" s="1752"/>
      <c r="CO39" s="1752"/>
      <c r="CP39" s="1752"/>
      <c r="CQ39" s="1752"/>
      <c r="CR39" s="1752"/>
      <c r="CS39" s="1752"/>
      <c r="CT39" s="1752"/>
      <c r="CU39" s="1752"/>
      <c r="CV39" s="1752"/>
      <c r="CW39" s="1752"/>
      <c r="CX39" s="1752"/>
      <c r="CY39" s="1752"/>
      <c r="CZ39" s="1752"/>
      <c r="DA39" s="1752"/>
      <c r="DB39" s="1752"/>
      <c r="DC39" s="1752"/>
      <c r="DD39" s="1752"/>
      <c r="DE39" s="1752"/>
      <c r="DF39" s="1752"/>
      <c r="DG39" s="1752"/>
      <c r="DH39" s="1752"/>
      <c r="DI39" s="1752"/>
      <c r="DJ39" s="1752"/>
    </row>
    <row r="40" spans="1:114" s="1753" customFormat="1" ht="13.5" customHeight="1" x14ac:dyDescent="0.2">
      <c r="A40" s="3042"/>
      <c r="B40" s="1870" t="s">
        <v>16</v>
      </c>
      <c r="C40" s="3040"/>
      <c r="D40" s="1863">
        <f>D61</f>
        <v>11086858</v>
      </c>
      <c r="E40" s="1865">
        <f t="shared" ref="E40:H40" si="77">E61</f>
        <v>0</v>
      </c>
      <c r="F40" s="1865">
        <f t="shared" si="77"/>
        <v>15000</v>
      </c>
      <c r="G40" s="1865">
        <f t="shared" si="77"/>
        <v>6313216</v>
      </c>
      <c r="H40" s="1864">
        <f t="shared" si="77"/>
        <v>4758642</v>
      </c>
      <c r="I40" s="1865">
        <f>I61</f>
        <v>11086858</v>
      </c>
      <c r="J40" s="1865">
        <f t="shared" ref="J40:N40" si="78">J61</f>
        <v>0</v>
      </c>
      <c r="K40" s="1865">
        <f t="shared" si="78"/>
        <v>15000</v>
      </c>
      <c r="L40" s="1865">
        <f t="shared" si="78"/>
        <v>6313216</v>
      </c>
      <c r="M40" s="1871">
        <f t="shared" si="78"/>
        <v>4758642</v>
      </c>
      <c r="N40" s="1863">
        <f t="shared" si="78"/>
        <v>15000</v>
      </c>
      <c r="O40" s="1867">
        <f t="shared" si="60"/>
        <v>0.13529531991841151</v>
      </c>
      <c r="P40" s="1865">
        <f t="shared" ref="P40" si="79">P61</f>
        <v>0</v>
      </c>
      <c r="Q40" s="1867">
        <f t="shared" si="61"/>
        <v>0</v>
      </c>
      <c r="R40" s="1864">
        <f t="shared" si="63"/>
        <v>-1578304</v>
      </c>
      <c r="S40" s="1872"/>
      <c r="T40" s="470"/>
      <c r="U40" s="1752"/>
      <c r="V40" s="1752"/>
      <c r="W40" s="1752"/>
      <c r="X40" s="1752"/>
      <c r="Y40" s="1752"/>
      <c r="Z40" s="1752"/>
      <c r="AA40" s="1752"/>
      <c r="AB40" s="1752"/>
      <c r="AC40" s="1752"/>
      <c r="AD40" s="1752"/>
      <c r="AE40" s="1752"/>
      <c r="AF40" s="1752"/>
      <c r="AG40" s="1752"/>
      <c r="AH40" s="1752"/>
      <c r="AI40" s="1752"/>
      <c r="AJ40" s="1752"/>
      <c r="AK40" s="1752"/>
      <c r="AL40" s="1752"/>
      <c r="AM40" s="1752"/>
      <c r="AN40" s="1752"/>
      <c r="AO40" s="1752"/>
      <c r="AP40" s="1752"/>
      <c r="AQ40" s="1752"/>
      <c r="AR40" s="1752"/>
      <c r="AS40" s="1752"/>
      <c r="AT40" s="1752"/>
      <c r="AU40" s="1752"/>
      <c r="AV40" s="1752"/>
      <c r="AW40" s="1752"/>
      <c r="AX40" s="1752"/>
      <c r="AY40" s="1752"/>
      <c r="AZ40" s="1752"/>
      <c r="BA40" s="1752"/>
      <c r="BB40" s="1752"/>
      <c r="BC40" s="1752"/>
      <c r="BD40" s="1752"/>
      <c r="BE40" s="1752"/>
      <c r="BF40" s="1752"/>
      <c r="BG40" s="1752"/>
      <c r="BH40" s="1752"/>
      <c r="BI40" s="1752"/>
      <c r="BJ40" s="1752"/>
      <c r="BK40" s="1752"/>
      <c r="BL40" s="1752"/>
      <c r="BM40" s="1752"/>
      <c r="BN40" s="1752"/>
      <c r="BO40" s="1752"/>
      <c r="BP40" s="1752"/>
      <c r="BQ40" s="1752"/>
      <c r="BR40" s="1752"/>
      <c r="BS40" s="1752"/>
      <c r="BT40" s="1752"/>
      <c r="BU40" s="1752"/>
      <c r="BV40" s="1752"/>
      <c r="BW40" s="1752"/>
      <c r="BX40" s="1752"/>
      <c r="BY40" s="1752"/>
      <c r="BZ40" s="1752"/>
      <c r="CA40" s="1752"/>
      <c r="CB40" s="1752"/>
      <c r="CC40" s="1752"/>
      <c r="CD40" s="1752"/>
      <c r="CE40" s="1752"/>
      <c r="CF40" s="1752"/>
      <c r="CG40" s="1752"/>
      <c r="CH40" s="1752"/>
      <c r="CI40" s="1752"/>
      <c r="CJ40" s="1752"/>
      <c r="CK40" s="1752"/>
      <c r="CL40" s="1752"/>
      <c r="CM40" s="1752"/>
      <c r="CN40" s="1752"/>
      <c r="CO40" s="1752"/>
      <c r="CP40" s="1752"/>
      <c r="CQ40" s="1752"/>
      <c r="CR40" s="1752"/>
      <c r="CS40" s="1752"/>
      <c r="CT40" s="1752"/>
      <c r="CU40" s="1752"/>
      <c r="CV40" s="1752"/>
      <c r="CW40" s="1752"/>
      <c r="CX40" s="1752"/>
      <c r="CY40" s="1752"/>
      <c r="CZ40" s="1752"/>
      <c r="DA40" s="1752"/>
      <c r="DB40" s="1752"/>
      <c r="DC40" s="1752"/>
      <c r="DD40" s="1752"/>
      <c r="DE40" s="1752"/>
      <c r="DF40" s="1752"/>
      <c r="DG40" s="1752"/>
      <c r="DH40" s="1752"/>
      <c r="DI40" s="1752"/>
      <c r="DJ40" s="1752"/>
    </row>
    <row r="41" spans="1:114" s="1753" customFormat="1" ht="13.5" customHeight="1" x14ac:dyDescent="0.2">
      <c r="A41" s="3042"/>
      <c r="B41" s="322" t="s">
        <v>17</v>
      </c>
      <c r="C41" s="1873"/>
      <c r="D41" s="1874">
        <f>D45+D42</f>
        <v>18383095</v>
      </c>
      <c r="E41" s="324">
        <f>E45</f>
        <v>0</v>
      </c>
      <c r="F41" s="324">
        <f>F45</f>
        <v>15000</v>
      </c>
      <c r="G41" s="324">
        <f>G45+G42</f>
        <v>8424679</v>
      </c>
      <c r="H41" s="324">
        <f>H45+H42</f>
        <v>6247796</v>
      </c>
      <c r="I41" s="326">
        <f>I45+I42</f>
        <v>18383095</v>
      </c>
      <c r="J41" s="324">
        <f>J45</f>
        <v>0</v>
      </c>
      <c r="K41" s="324">
        <f>K45</f>
        <v>15000</v>
      </c>
      <c r="L41" s="324">
        <f>L45+L42</f>
        <v>8424679</v>
      </c>
      <c r="M41" s="327">
        <f>M45+M42</f>
        <v>6247796</v>
      </c>
      <c r="N41" s="1874">
        <f>P41+J41+K41</f>
        <v>15000</v>
      </c>
      <c r="O41" s="1875">
        <f t="shared" si="60"/>
        <v>8.1596706104167985E-2</v>
      </c>
      <c r="P41" s="324">
        <f>P45</f>
        <v>0</v>
      </c>
      <c r="Q41" s="1875">
        <f t="shared" si="61"/>
        <v>0</v>
      </c>
      <c r="R41" s="325">
        <f t="shared" si="63"/>
        <v>-2106169.75</v>
      </c>
      <c r="S41" s="1872"/>
      <c r="T41" s="470"/>
      <c r="U41" s="1752"/>
      <c r="V41" s="1752"/>
      <c r="W41" s="1752"/>
      <c r="X41" s="1752"/>
      <c r="Y41" s="1752"/>
      <c r="Z41" s="1752"/>
      <c r="AA41" s="1752"/>
      <c r="AB41" s="1752"/>
      <c r="AC41" s="1752"/>
      <c r="AD41" s="1752"/>
      <c r="AE41" s="1752"/>
      <c r="AF41" s="1752"/>
      <c r="AG41" s="1752"/>
      <c r="AH41" s="1752"/>
      <c r="AI41" s="1752"/>
      <c r="AJ41" s="1752"/>
      <c r="AK41" s="1752"/>
      <c r="AL41" s="1752"/>
      <c r="AM41" s="1752"/>
      <c r="AN41" s="1752"/>
      <c r="AO41" s="1752"/>
      <c r="AP41" s="1752"/>
      <c r="AQ41" s="1752"/>
      <c r="AR41" s="1752"/>
      <c r="AS41" s="1752"/>
      <c r="AT41" s="1752"/>
      <c r="AU41" s="1752"/>
      <c r="AV41" s="1752"/>
      <c r="AW41" s="1752"/>
      <c r="AX41" s="1752"/>
      <c r="AY41" s="1752"/>
      <c r="AZ41" s="1752"/>
      <c r="BA41" s="1752"/>
      <c r="BB41" s="1752"/>
      <c r="BC41" s="1752"/>
      <c r="BD41" s="1752"/>
      <c r="BE41" s="1752"/>
      <c r="BF41" s="1752"/>
      <c r="BG41" s="1752"/>
      <c r="BH41" s="1752"/>
      <c r="BI41" s="1752"/>
      <c r="BJ41" s="1752"/>
      <c r="BK41" s="1752"/>
      <c r="BL41" s="1752"/>
      <c r="BM41" s="1752"/>
      <c r="BN41" s="1752"/>
      <c r="BO41" s="1752"/>
      <c r="BP41" s="1752"/>
      <c r="BQ41" s="1752"/>
      <c r="BR41" s="1752"/>
      <c r="BS41" s="1752"/>
      <c r="BT41" s="1752"/>
      <c r="BU41" s="1752"/>
      <c r="BV41" s="1752"/>
      <c r="BW41" s="1752"/>
      <c r="BX41" s="1752"/>
      <c r="BY41" s="1752"/>
      <c r="BZ41" s="1752"/>
      <c r="CA41" s="1752"/>
      <c r="CB41" s="1752"/>
      <c r="CC41" s="1752"/>
      <c r="CD41" s="1752"/>
      <c r="CE41" s="1752"/>
      <c r="CF41" s="1752"/>
      <c r="CG41" s="1752"/>
      <c r="CH41" s="1752"/>
      <c r="CI41" s="1752"/>
      <c r="CJ41" s="1752"/>
      <c r="CK41" s="1752"/>
      <c r="CL41" s="1752"/>
      <c r="CM41" s="1752"/>
      <c r="CN41" s="1752"/>
      <c r="CO41" s="1752"/>
      <c r="CP41" s="1752"/>
      <c r="CQ41" s="1752"/>
      <c r="CR41" s="1752"/>
      <c r="CS41" s="1752"/>
      <c r="CT41" s="1752"/>
      <c r="CU41" s="1752"/>
      <c r="CV41" s="1752"/>
      <c r="CW41" s="1752"/>
      <c r="CX41" s="1752"/>
      <c r="CY41" s="1752"/>
      <c r="CZ41" s="1752"/>
      <c r="DA41" s="1752"/>
      <c r="DB41" s="1752"/>
      <c r="DC41" s="1752"/>
      <c r="DD41" s="1752"/>
      <c r="DE41" s="1752"/>
      <c r="DF41" s="1752"/>
      <c r="DG41" s="1752"/>
      <c r="DH41" s="1752"/>
      <c r="DI41" s="1752"/>
      <c r="DJ41" s="1752"/>
    </row>
    <row r="42" spans="1:114" s="1753" customFormat="1" ht="13.5" customHeight="1" x14ac:dyDescent="0.2">
      <c r="A42" s="3042"/>
      <c r="B42" s="1855" t="s">
        <v>18</v>
      </c>
      <c r="C42" s="1876"/>
      <c r="D42" s="1877">
        <f t="shared" ref="D42:H42" si="80">+D43+D44</f>
        <v>7296237</v>
      </c>
      <c r="E42" s="1878">
        <f t="shared" si="80"/>
        <v>0</v>
      </c>
      <c r="F42" s="1878">
        <f t="shared" si="80"/>
        <v>0</v>
      </c>
      <c r="G42" s="1878">
        <f t="shared" si="80"/>
        <v>2111463</v>
      </c>
      <c r="H42" s="1878">
        <f t="shared" si="80"/>
        <v>1489154</v>
      </c>
      <c r="I42" s="1879">
        <f t="shared" ref="I42:P42" si="81">+I43+I44</f>
        <v>7296237</v>
      </c>
      <c r="J42" s="1878">
        <f t="shared" si="81"/>
        <v>0</v>
      </c>
      <c r="K42" s="1878">
        <f t="shared" si="81"/>
        <v>0</v>
      </c>
      <c r="L42" s="1878">
        <f t="shared" si="81"/>
        <v>2111463</v>
      </c>
      <c r="M42" s="1880">
        <f t="shared" si="81"/>
        <v>1489154</v>
      </c>
      <c r="N42" s="1877">
        <f t="shared" si="81"/>
        <v>0</v>
      </c>
      <c r="O42" s="1881">
        <f t="shared" si="60"/>
        <v>0</v>
      </c>
      <c r="P42" s="1878">
        <f t="shared" si="81"/>
        <v>0</v>
      </c>
      <c r="Q42" s="1881">
        <f t="shared" si="61"/>
        <v>0</v>
      </c>
      <c r="R42" s="1878">
        <f t="shared" si="63"/>
        <v>-527865.75</v>
      </c>
      <c r="S42" s="1872"/>
      <c r="T42" s="470"/>
      <c r="U42" s="1752"/>
      <c r="V42" s="1752"/>
      <c r="W42" s="1752"/>
      <c r="X42" s="1752"/>
      <c r="Y42" s="1752"/>
      <c r="Z42" s="1752"/>
      <c r="AA42" s="1752"/>
      <c r="AB42" s="1752"/>
      <c r="AC42" s="1752"/>
      <c r="AD42" s="1752"/>
      <c r="AE42" s="1752"/>
      <c r="AF42" s="1752"/>
      <c r="AG42" s="1752"/>
      <c r="AH42" s="1752"/>
      <c r="AI42" s="1752"/>
      <c r="AJ42" s="1752"/>
      <c r="AK42" s="1752"/>
      <c r="AL42" s="1752"/>
      <c r="AM42" s="1752"/>
      <c r="AN42" s="1752"/>
      <c r="AO42" s="1752"/>
      <c r="AP42" s="1752"/>
      <c r="AQ42" s="1752"/>
      <c r="AR42" s="1752"/>
      <c r="AS42" s="1752"/>
      <c r="AT42" s="1752"/>
      <c r="AU42" s="1752"/>
      <c r="AV42" s="1752"/>
      <c r="AW42" s="1752"/>
      <c r="AX42" s="1752"/>
      <c r="AY42" s="1752"/>
      <c r="AZ42" s="1752"/>
      <c r="BA42" s="1752"/>
      <c r="BB42" s="1752"/>
      <c r="BC42" s="1752"/>
      <c r="BD42" s="1752"/>
      <c r="BE42" s="1752"/>
      <c r="BF42" s="1752"/>
      <c r="BG42" s="1752"/>
      <c r="BH42" s="1752"/>
      <c r="BI42" s="1752"/>
      <c r="BJ42" s="1752"/>
      <c r="BK42" s="1752"/>
      <c r="BL42" s="1752"/>
      <c r="BM42" s="1752"/>
      <c r="BN42" s="1752"/>
      <c r="BO42" s="1752"/>
      <c r="BP42" s="1752"/>
      <c r="BQ42" s="1752"/>
      <c r="BR42" s="1752"/>
      <c r="BS42" s="1752"/>
      <c r="BT42" s="1752"/>
      <c r="BU42" s="1752"/>
      <c r="BV42" s="1752"/>
      <c r="BW42" s="1752"/>
      <c r="BX42" s="1752"/>
      <c r="BY42" s="1752"/>
      <c r="BZ42" s="1752"/>
      <c r="CA42" s="1752"/>
      <c r="CB42" s="1752"/>
      <c r="CC42" s="1752"/>
      <c r="CD42" s="1752"/>
      <c r="CE42" s="1752"/>
      <c r="CF42" s="1752"/>
      <c r="CG42" s="1752"/>
      <c r="CH42" s="1752"/>
      <c r="CI42" s="1752"/>
      <c r="CJ42" s="1752"/>
      <c r="CK42" s="1752"/>
      <c r="CL42" s="1752"/>
      <c r="CM42" s="1752"/>
      <c r="CN42" s="1752"/>
      <c r="CO42" s="1752"/>
      <c r="CP42" s="1752"/>
      <c r="CQ42" s="1752"/>
      <c r="CR42" s="1752"/>
      <c r="CS42" s="1752"/>
      <c r="CT42" s="1752"/>
      <c r="CU42" s="1752"/>
      <c r="CV42" s="1752"/>
      <c r="CW42" s="1752"/>
      <c r="CX42" s="1752"/>
      <c r="CY42" s="1752"/>
      <c r="CZ42" s="1752"/>
      <c r="DA42" s="1752"/>
      <c r="DB42" s="1752"/>
      <c r="DC42" s="1752"/>
      <c r="DD42" s="1752"/>
      <c r="DE42" s="1752"/>
      <c r="DF42" s="1752"/>
      <c r="DG42" s="1752"/>
      <c r="DH42" s="1752"/>
      <c r="DI42" s="1752"/>
      <c r="DJ42" s="1752"/>
    </row>
    <row r="43" spans="1:114" s="1753" customFormat="1" ht="13.5" customHeight="1" x14ac:dyDescent="0.2">
      <c r="A43" s="3042"/>
      <c r="B43" s="1862" t="s">
        <v>296</v>
      </c>
      <c r="C43" s="1876"/>
      <c r="D43" s="1863">
        <f>D64</f>
        <v>3695620</v>
      </c>
      <c r="E43" s="1864">
        <v>0</v>
      </c>
      <c r="F43" s="1864">
        <v>0</v>
      </c>
      <c r="G43" s="1868">
        <v>0</v>
      </c>
      <c r="H43" s="1868">
        <v>0</v>
      </c>
      <c r="I43" s="1882">
        <f>I64</f>
        <v>3695620</v>
      </c>
      <c r="J43" s="1868">
        <v>0</v>
      </c>
      <c r="K43" s="1868">
        <v>0</v>
      </c>
      <c r="L43" s="1868">
        <v>0</v>
      </c>
      <c r="M43" s="1883">
        <v>0</v>
      </c>
      <c r="N43" s="1884">
        <f t="shared" ref="N43" si="82">P43+J43+K43</f>
        <v>0</v>
      </c>
      <c r="O43" s="1885">
        <f t="shared" si="60"/>
        <v>0</v>
      </c>
      <c r="P43" s="1868">
        <v>0</v>
      </c>
      <c r="Q43" s="1885">
        <v>0</v>
      </c>
      <c r="R43" s="1864">
        <f t="shared" si="63"/>
        <v>0</v>
      </c>
      <c r="S43" s="1872"/>
      <c r="T43" s="470"/>
      <c r="U43" s="1752"/>
      <c r="V43" s="1752"/>
      <c r="W43" s="1752"/>
      <c r="X43" s="1752"/>
      <c r="Y43" s="1752"/>
      <c r="Z43" s="1752"/>
      <c r="AA43" s="1752"/>
      <c r="AB43" s="1752"/>
      <c r="AC43" s="1752"/>
      <c r="AD43" s="1752"/>
      <c r="AE43" s="1752"/>
      <c r="AF43" s="1752"/>
      <c r="AG43" s="1752"/>
      <c r="AH43" s="1752"/>
      <c r="AI43" s="1752"/>
      <c r="AJ43" s="1752"/>
      <c r="AK43" s="1752"/>
      <c r="AL43" s="1752"/>
      <c r="AM43" s="1752"/>
      <c r="AN43" s="1752"/>
      <c r="AO43" s="1752"/>
      <c r="AP43" s="1752"/>
      <c r="AQ43" s="1752"/>
      <c r="AR43" s="1752"/>
      <c r="AS43" s="1752"/>
      <c r="AT43" s="1752"/>
      <c r="AU43" s="1752"/>
      <c r="AV43" s="1752"/>
      <c r="AW43" s="1752"/>
      <c r="AX43" s="1752"/>
      <c r="AY43" s="1752"/>
      <c r="AZ43" s="1752"/>
      <c r="BA43" s="1752"/>
      <c r="BB43" s="1752"/>
      <c r="BC43" s="1752"/>
      <c r="BD43" s="1752"/>
      <c r="BE43" s="1752"/>
      <c r="BF43" s="1752"/>
      <c r="BG43" s="1752"/>
      <c r="BH43" s="1752"/>
      <c r="BI43" s="1752"/>
      <c r="BJ43" s="1752"/>
      <c r="BK43" s="1752"/>
      <c r="BL43" s="1752"/>
      <c r="BM43" s="1752"/>
      <c r="BN43" s="1752"/>
      <c r="BO43" s="1752"/>
      <c r="BP43" s="1752"/>
      <c r="BQ43" s="1752"/>
      <c r="BR43" s="1752"/>
      <c r="BS43" s="1752"/>
      <c r="BT43" s="1752"/>
      <c r="BU43" s="1752"/>
      <c r="BV43" s="1752"/>
      <c r="BW43" s="1752"/>
      <c r="BX43" s="1752"/>
      <c r="BY43" s="1752"/>
      <c r="BZ43" s="1752"/>
      <c r="CA43" s="1752"/>
      <c r="CB43" s="1752"/>
      <c r="CC43" s="1752"/>
      <c r="CD43" s="1752"/>
      <c r="CE43" s="1752"/>
      <c r="CF43" s="1752"/>
      <c r="CG43" s="1752"/>
      <c r="CH43" s="1752"/>
      <c r="CI43" s="1752"/>
      <c r="CJ43" s="1752"/>
      <c r="CK43" s="1752"/>
      <c r="CL43" s="1752"/>
      <c r="CM43" s="1752"/>
      <c r="CN43" s="1752"/>
      <c r="CO43" s="1752"/>
      <c r="CP43" s="1752"/>
      <c r="CQ43" s="1752"/>
      <c r="CR43" s="1752"/>
      <c r="CS43" s="1752"/>
      <c r="CT43" s="1752"/>
      <c r="CU43" s="1752"/>
      <c r="CV43" s="1752"/>
      <c r="CW43" s="1752"/>
      <c r="CX43" s="1752"/>
      <c r="CY43" s="1752"/>
      <c r="CZ43" s="1752"/>
      <c r="DA43" s="1752"/>
      <c r="DB43" s="1752"/>
      <c r="DC43" s="1752"/>
      <c r="DD43" s="1752"/>
      <c r="DE43" s="1752"/>
      <c r="DF43" s="1752"/>
      <c r="DG43" s="1752"/>
      <c r="DH43" s="1752"/>
      <c r="DI43" s="1752"/>
      <c r="DJ43" s="1752"/>
    </row>
    <row r="44" spans="1:114" s="1753" customFormat="1" ht="13.5" customHeight="1" x14ac:dyDescent="0.2">
      <c r="A44" s="3042"/>
      <c r="B44" s="1862" t="s">
        <v>300</v>
      </c>
      <c r="C44" s="1876"/>
      <c r="D44" s="1863">
        <f>D65</f>
        <v>3600617</v>
      </c>
      <c r="E44" s="1865">
        <f t="shared" ref="E44:H44" si="83">E65</f>
        <v>0</v>
      </c>
      <c r="F44" s="1865">
        <f t="shared" si="83"/>
        <v>0</v>
      </c>
      <c r="G44" s="1865">
        <f t="shared" si="83"/>
        <v>2111463</v>
      </c>
      <c r="H44" s="1864">
        <f t="shared" si="83"/>
        <v>1489154</v>
      </c>
      <c r="I44" s="1865">
        <f>I65</f>
        <v>3600617</v>
      </c>
      <c r="J44" s="1865">
        <f t="shared" ref="J44:N44" si="84">J65</f>
        <v>0</v>
      </c>
      <c r="K44" s="1865">
        <f t="shared" si="84"/>
        <v>0</v>
      </c>
      <c r="L44" s="1865">
        <f t="shared" si="84"/>
        <v>2111463</v>
      </c>
      <c r="M44" s="1871">
        <f t="shared" si="84"/>
        <v>1489154</v>
      </c>
      <c r="N44" s="1863">
        <f t="shared" si="84"/>
        <v>0</v>
      </c>
      <c r="O44" s="1881">
        <f t="shared" si="60"/>
        <v>0</v>
      </c>
      <c r="P44" s="1865">
        <f t="shared" ref="P44" si="85">P65</f>
        <v>0</v>
      </c>
      <c r="Q44" s="1881">
        <f t="shared" si="61"/>
        <v>0</v>
      </c>
      <c r="R44" s="1864"/>
      <c r="S44" s="1872"/>
      <c r="T44" s="470"/>
      <c r="U44" s="1752"/>
      <c r="V44" s="1752"/>
      <c r="W44" s="1752"/>
      <c r="X44" s="1752"/>
      <c r="Y44" s="1752"/>
      <c r="Z44" s="1752"/>
      <c r="AA44" s="1752"/>
      <c r="AB44" s="1752"/>
      <c r="AC44" s="1752"/>
      <c r="AD44" s="1752"/>
      <c r="AE44" s="1752"/>
      <c r="AF44" s="1752"/>
      <c r="AG44" s="1752"/>
      <c r="AH44" s="1752"/>
      <c r="AI44" s="1752"/>
      <c r="AJ44" s="1752"/>
      <c r="AK44" s="1752"/>
      <c r="AL44" s="1752"/>
      <c r="AM44" s="1752"/>
      <c r="AN44" s="1752"/>
      <c r="AO44" s="1752"/>
      <c r="AP44" s="1752"/>
      <c r="AQ44" s="1752"/>
      <c r="AR44" s="1752"/>
      <c r="AS44" s="1752"/>
      <c r="AT44" s="1752"/>
      <c r="AU44" s="1752"/>
      <c r="AV44" s="1752"/>
      <c r="AW44" s="1752"/>
      <c r="AX44" s="1752"/>
      <c r="AY44" s="1752"/>
      <c r="AZ44" s="1752"/>
      <c r="BA44" s="1752"/>
      <c r="BB44" s="1752"/>
      <c r="BC44" s="1752"/>
      <c r="BD44" s="1752"/>
      <c r="BE44" s="1752"/>
      <c r="BF44" s="1752"/>
      <c r="BG44" s="1752"/>
      <c r="BH44" s="1752"/>
      <c r="BI44" s="1752"/>
      <c r="BJ44" s="1752"/>
      <c r="BK44" s="1752"/>
      <c r="BL44" s="1752"/>
      <c r="BM44" s="1752"/>
      <c r="BN44" s="1752"/>
      <c r="BO44" s="1752"/>
      <c r="BP44" s="1752"/>
      <c r="BQ44" s="1752"/>
      <c r="BR44" s="1752"/>
      <c r="BS44" s="1752"/>
      <c r="BT44" s="1752"/>
      <c r="BU44" s="1752"/>
      <c r="BV44" s="1752"/>
      <c r="BW44" s="1752"/>
      <c r="BX44" s="1752"/>
      <c r="BY44" s="1752"/>
      <c r="BZ44" s="1752"/>
      <c r="CA44" s="1752"/>
      <c r="CB44" s="1752"/>
      <c r="CC44" s="1752"/>
      <c r="CD44" s="1752"/>
      <c r="CE44" s="1752"/>
      <c r="CF44" s="1752"/>
      <c r="CG44" s="1752"/>
      <c r="CH44" s="1752"/>
      <c r="CI44" s="1752"/>
      <c r="CJ44" s="1752"/>
      <c r="CK44" s="1752"/>
      <c r="CL44" s="1752"/>
      <c r="CM44" s="1752"/>
      <c r="CN44" s="1752"/>
      <c r="CO44" s="1752"/>
      <c r="CP44" s="1752"/>
      <c r="CQ44" s="1752"/>
      <c r="CR44" s="1752"/>
      <c r="CS44" s="1752"/>
      <c r="CT44" s="1752"/>
      <c r="CU44" s="1752"/>
      <c r="CV44" s="1752"/>
      <c r="CW44" s="1752"/>
      <c r="CX44" s="1752"/>
      <c r="CY44" s="1752"/>
      <c r="CZ44" s="1752"/>
      <c r="DA44" s="1752"/>
      <c r="DB44" s="1752"/>
      <c r="DC44" s="1752"/>
      <c r="DD44" s="1752"/>
      <c r="DE44" s="1752"/>
      <c r="DF44" s="1752"/>
      <c r="DG44" s="1752"/>
      <c r="DH44" s="1752"/>
      <c r="DI44" s="1752"/>
      <c r="DJ44" s="1752"/>
    </row>
    <row r="45" spans="1:114" s="1753" customFormat="1" ht="13.5" customHeight="1" x14ac:dyDescent="0.2">
      <c r="A45" s="3042"/>
      <c r="B45" s="1886" t="s">
        <v>13</v>
      </c>
      <c r="C45" s="3039"/>
      <c r="D45" s="1856">
        <f>+D46</f>
        <v>11086858</v>
      </c>
      <c r="E45" s="1857">
        <f t="shared" ref="E45:K45" si="86">+E46</f>
        <v>0</v>
      </c>
      <c r="F45" s="1857">
        <f t="shared" si="86"/>
        <v>15000</v>
      </c>
      <c r="G45" s="1857">
        <f>+G46</f>
        <v>6313216</v>
      </c>
      <c r="H45" s="1857">
        <f>+H46</f>
        <v>4758642</v>
      </c>
      <c r="I45" s="1858">
        <f>+I46</f>
        <v>11086858</v>
      </c>
      <c r="J45" s="1857">
        <f t="shared" si="86"/>
        <v>0</v>
      </c>
      <c r="K45" s="1857">
        <f t="shared" si="86"/>
        <v>15000</v>
      </c>
      <c r="L45" s="1857">
        <f>+L46</f>
        <v>6313216</v>
      </c>
      <c r="M45" s="1859">
        <f>+M46</f>
        <v>4758642</v>
      </c>
      <c r="N45" s="1856">
        <f t="shared" ref="N45:N46" si="87">P45+J45+K45</f>
        <v>15000</v>
      </c>
      <c r="O45" s="1860">
        <f t="shared" si="60"/>
        <v>0.13529531991841151</v>
      </c>
      <c r="P45" s="1857">
        <f t="shared" ref="P45" si="88">+P46</f>
        <v>0</v>
      </c>
      <c r="Q45" s="1860">
        <f t="shared" si="61"/>
        <v>0</v>
      </c>
      <c r="R45" s="1857">
        <f t="shared" ref="R45:R46" si="89">+P45-L45*0.25</f>
        <v>-1578304</v>
      </c>
      <c r="S45" s="1872"/>
      <c r="T45" s="470"/>
      <c r="U45" s="1752"/>
      <c r="V45" s="1752"/>
      <c r="W45" s="1752"/>
      <c r="X45" s="1752"/>
      <c r="Y45" s="1752"/>
      <c r="Z45" s="1752"/>
      <c r="AA45" s="1752"/>
      <c r="AB45" s="1752"/>
      <c r="AC45" s="1752"/>
      <c r="AD45" s="1752"/>
      <c r="AE45" s="1752"/>
      <c r="AF45" s="1752"/>
      <c r="AG45" s="1752"/>
      <c r="AH45" s="1752"/>
      <c r="AI45" s="1752"/>
      <c r="AJ45" s="1752"/>
      <c r="AK45" s="1752"/>
      <c r="AL45" s="1752"/>
      <c r="AM45" s="1752"/>
      <c r="AN45" s="1752"/>
      <c r="AO45" s="1752"/>
      <c r="AP45" s="1752"/>
      <c r="AQ45" s="1752"/>
      <c r="AR45" s="1752"/>
      <c r="AS45" s="1752"/>
      <c r="AT45" s="1752"/>
      <c r="AU45" s="1752"/>
      <c r="AV45" s="1752"/>
      <c r="AW45" s="1752"/>
      <c r="AX45" s="1752"/>
      <c r="AY45" s="1752"/>
      <c r="AZ45" s="1752"/>
      <c r="BA45" s="1752"/>
      <c r="BB45" s="1752"/>
      <c r="BC45" s="1752"/>
      <c r="BD45" s="1752"/>
      <c r="BE45" s="1752"/>
      <c r="BF45" s="1752"/>
      <c r="BG45" s="1752"/>
      <c r="BH45" s="1752"/>
      <c r="BI45" s="1752"/>
      <c r="BJ45" s="1752"/>
      <c r="BK45" s="1752"/>
      <c r="BL45" s="1752"/>
      <c r="BM45" s="1752"/>
      <c r="BN45" s="1752"/>
      <c r="BO45" s="1752"/>
      <c r="BP45" s="1752"/>
      <c r="BQ45" s="1752"/>
      <c r="BR45" s="1752"/>
      <c r="BS45" s="1752"/>
      <c r="BT45" s="1752"/>
      <c r="BU45" s="1752"/>
      <c r="BV45" s="1752"/>
      <c r="BW45" s="1752"/>
      <c r="BX45" s="1752"/>
      <c r="BY45" s="1752"/>
      <c r="BZ45" s="1752"/>
      <c r="CA45" s="1752"/>
      <c r="CB45" s="1752"/>
      <c r="CC45" s="1752"/>
      <c r="CD45" s="1752"/>
      <c r="CE45" s="1752"/>
      <c r="CF45" s="1752"/>
      <c r="CG45" s="1752"/>
      <c r="CH45" s="1752"/>
      <c r="CI45" s="1752"/>
      <c r="CJ45" s="1752"/>
      <c r="CK45" s="1752"/>
      <c r="CL45" s="1752"/>
      <c r="CM45" s="1752"/>
      <c r="CN45" s="1752"/>
      <c r="CO45" s="1752"/>
      <c r="CP45" s="1752"/>
      <c r="CQ45" s="1752"/>
      <c r="CR45" s="1752"/>
      <c r="CS45" s="1752"/>
      <c r="CT45" s="1752"/>
      <c r="CU45" s="1752"/>
      <c r="CV45" s="1752"/>
      <c r="CW45" s="1752"/>
      <c r="CX45" s="1752"/>
      <c r="CY45" s="1752"/>
      <c r="CZ45" s="1752"/>
      <c r="DA45" s="1752"/>
      <c r="DB45" s="1752"/>
      <c r="DC45" s="1752"/>
      <c r="DD45" s="1752"/>
      <c r="DE45" s="1752"/>
      <c r="DF45" s="1752"/>
      <c r="DG45" s="1752"/>
      <c r="DH45" s="1752"/>
      <c r="DI45" s="1752"/>
      <c r="DJ45" s="1752"/>
    </row>
    <row r="46" spans="1:114" s="1753" customFormat="1" ht="13.5" customHeight="1" thickBot="1" x14ac:dyDescent="0.25">
      <c r="A46" s="3043"/>
      <c r="B46" s="1887" t="s">
        <v>16</v>
      </c>
      <c r="C46" s="3041"/>
      <c r="D46" s="1888">
        <f>D67</f>
        <v>11086858</v>
      </c>
      <c r="E46" s="1889">
        <f t="shared" ref="E46:H46" si="90">E67</f>
        <v>0</v>
      </c>
      <c r="F46" s="1889">
        <f t="shared" si="90"/>
        <v>15000</v>
      </c>
      <c r="G46" s="1889">
        <f t="shared" si="90"/>
        <v>6313216</v>
      </c>
      <c r="H46" s="1890">
        <f t="shared" si="90"/>
        <v>4758642</v>
      </c>
      <c r="I46" s="1889">
        <f>I67</f>
        <v>11086858</v>
      </c>
      <c r="J46" s="1889">
        <f t="shared" ref="J46:M46" si="91">J67</f>
        <v>0</v>
      </c>
      <c r="K46" s="1889">
        <f t="shared" si="91"/>
        <v>15000</v>
      </c>
      <c r="L46" s="1889">
        <f t="shared" si="91"/>
        <v>6313216</v>
      </c>
      <c r="M46" s="1891">
        <f t="shared" si="91"/>
        <v>4758642</v>
      </c>
      <c r="N46" s="1888">
        <f t="shared" si="87"/>
        <v>15000</v>
      </c>
      <c r="O46" s="1892">
        <f t="shared" si="60"/>
        <v>0.13529531991841151</v>
      </c>
      <c r="P46" s="1889">
        <f t="shared" ref="P46" si="92">P67</f>
        <v>0</v>
      </c>
      <c r="Q46" s="1892">
        <f t="shared" si="61"/>
        <v>0</v>
      </c>
      <c r="R46" s="1890">
        <f t="shared" si="89"/>
        <v>-1578304</v>
      </c>
      <c r="S46" s="1872"/>
      <c r="T46" s="470"/>
      <c r="U46" s="1752"/>
      <c r="V46" s="1752"/>
      <c r="W46" s="1752"/>
      <c r="X46" s="1752"/>
      <c r="Y46" s="1752"/>
      <c r="Z46" s="1752"/>
      <c r="AA46" s="1752"/>
      <c r="AB46" s="1752"/>
      <c r="AC46" s="1752"/>
      <c r="AD46" s="1752"/>
      <c r="AE46" s="1752"/>
      <c r="AF46" s="1752"/>
      <c r="AG46" s="1752"/>
      <c r="AH46" s="1752"/>
      <c r="AI46" s="1752"/>
      <c r="AJ46" s="1752"/>
      <c r="AK46" s="1752"/>
      <c r="AL46" s="1752"/>
      <c r="AM46" s="1752"/>
      <c r="AN46" s="1752"/>
      <c r="AO46" s="1752"/>
      <c r="AP46" s="1752"/>
      <c r="AQ46" s="1752"/>
      <c r="AR46" s="1752"/>
      <c r="AS46" s="1752"/>
      <c r="AT46" s="1752"/>
      <c r="AU46" s="1752"/>
      <c r="AV46" s="1752"/>
      <c r="AW46" s="1752"/>
      <c r="AX46" s="1752"/>
      <c r="AY46" s="1752"/>
      <c r="AZ46" s="1752"/>
      <c r="BA46" s="1752"/>
      <c r="BB46" s="1752"/>
      <c r="BC46" s="1752"/>
      <c r="BD46" s="1752"/>
      <c r="BE46" s="1752"/>
      <c r="BF46" s="1752"/>
      <c r="BG46" s="1752"/>
      <c r="BH46" s="1752"/>
      <c r="BI46" s="1752"/>
      <c r="BJ46" s="1752"/>
      <c r="BK46" s="1752"/>
      <c r="BL46" s="1752"/>
      <c r="BM46" s="1752"/>
      <c r="BN46" s="1752"/>
      <c r="BO46" s="1752"/>
      <c r="BP46" s="1752"/>
      <c r="BQ46" s="1752"/>
      <c r="BR46" s="1752"/>
      <c r="BS46" s="1752"/>
      <c r="BT46" s="1752"/>
      <c r="BU46" s="1752"/>
      <c r="BV46" s="1752"/>
      <c r="BW46" s="1752"/>
      <c r="BX46" s="1752"/>
      <c r="BY46" s="1752"/>
      <c r="BZ46" s="1752"/>
      <c r="CA46" s="1752"/>
      <c r="CB46" s="1752"/>
      <c r="CC46" s="1752"/>
      <c r="CD46" s="1752"/>
      <c r="CE46" s="1752"/>
      <c r="CF46" s="1752"/>
      <c r="CG46" s="1752"/>
      <c r="CH46" s="1752"/>
      <c r="CI46" s="1752"/>
      <c r="CJ46" s="1752"/>
      <c r="CK46" s="1752"/>
      <c r="CL46" s="1752"/>
      <c r="CM46" s="1752"/>
      <c r="CN46" s="1752"/>
      <c r="CO46" s="1752"/>
      <c r="CP46" s="1752"/>
      <c r="CQ46" s="1752"/>
      <c r="CR46" s="1752"/>
      <c r="CS46" s="1752"/>
      <c r="CT46" s="1752"/>
      <c r="CU46" s="1752"/>
      <c r="CV46" s="1752"/>
      <c r="CW46" s="1752"/>
      <c r="CX46" s="1752"/>
      <c r="CY46" s="1752"/>
      <c r="CZ46" s="1752"/>
      <c r="DA46" s="1752"/>
      <c r="DB46" s="1752"/>
      <c r="DC46" s="1752"/>
      <c r="DD46" s="1752"/>
      <c r="DE46" s="1752"/>
      <c r="DF46" s="1752"/>
      <c r="DG46" s="1752"/>
      <c r="DH46" s="1752"/>
      <c r="DI46" s="1752"/>
      <c r="DJ46" s="1752"/>
    </row>
    <row r="47" spans="1:114" ht="50.25" customHeight="1" x14ac:dyDescent="0.2">
      <c r="A47" s="3048" t="s">
        <v>40</v>
      </c>
      <c r="B47" s="1893" t="s">
        <v>169</v>
      </c>
      <c r="C47" s="1520" t="s">
        <v>225</v>
      </c>
      <c r="D47" s="1894"/>
      <c r="E47" s="4"/>
      <c r="F47" s="4"/>
      <c r="G47" s="4"/>
      <c r="H47" s="4"/>
      <c r="I47" s="1895"/>
      <c r="J47" s="4"/>
      <c r="K47" s="4"/>
      <c r="L47" s="4"/>
      <c r="M47" s="1896"/>
      <c r="N47" s="1897"/>
      <c r="O47" s="1898"/>
      <c r="P47" s="1899"/>
      <c r="Q47" s="1898"/>
      <c r="R47" s="4">
        <f t="shared" si="57"/>
        <v>0</v>
      </c>
      <c r="S47" s="3051" t="s">
        <v>170</v>
      </c>
      <c r="T47" s="470"/>
    </row>
    <row r="48" spans="1:114" ht="15" customHeight="1" x14ac:dyDescent="0.2">
      <c r="A48" s="3049"/>
      <c r="B48" s="1586" t="s">
        <v>3</v>
      </c>
      <c r="C48" s="566"/>
      <c r="D48" s="1695">
        <f>+D49</f>
        <v>12084063</v>
      </c>
      <c r="E48" s="1900">
        <f t="shared" ref="E48:H49" si="93">E49</f>
        <v>10901413</v>
      </c>
      <c r="F48" s="1901">
        <f t="shared" si="93"/>
        <v>0</v>
      </c>
      <c r="G48" s="1901">
        <f t="shared" si="93"/>
        <v>0</v>
      </c>
      <c r="H48" s="1902">
        <f t="shared" si="93"/>
        <v>1182650</v>
      </c>
      <c r="I48" s="1695">
        <f>+I49</f>
        <v>12084063</v>
      </c>
      <c r="J48" s="1900">
        <f t="shared" ref="J48:M49" si="94">J49</f>
        <v>10901413</v>
      </c>
      <c r="K48" s="1901">
        <f t="shared" si="94"/>
        <v>0</v>
      </c>
      <c r="L48" s="1901">
        <f t="shared" si="94"/>
        <v>0</v>
      </c>
      <c r="M48" s="1902">
        <f t="shared" si="94"/>
        <v>1182650</v>
      </c>
      <c r="N48" s="1903">
        <f>P48+J48+K48</f>
        <v>10901413</v>
      </c>
      <c r="O48" s="1904">
        <f t="shared" si="60"/>
        <v>90.213142715326782</v>
      </c>
      <c r="P48" s="1905">
        <f>P49</f>
        <v>0</v>
      </c>
      <c r="Q48" s="1713">
        <v>0</v>
      </c>
      <c r="R48" s="1900">
        <f t="shared" si="57"/>
        <v>0</v>
      </c>
      <c r="S48" s="3052"/>
      <c r="T48" s="470"/>
    </row>
    <row r="49" spans="1:20" ht="15" customHeight="1" x14ac:dyDescent="0.2">
      <c r="A49" s="3049"/>
      <c r="B49" s="1906" t="s">
        <v>18</v>
      </c>
      <c r="C49" s="3054" t="s">
        <v>171</v>
      </c>
      <c r="D49" s="1610">
        <f>+D50</f>
        <v>12084063</v>
      </c>
      <c r="E49" s="1907">
        <f t="shared" si="93"/>
        <v>10901413</v>
      </c>
      <c r="F49" s="1908">
        <f t="shared" si="93"/>
        <v>0</v>
      </c>
      <c r="G49" s="1908">
        <f t="shared" si="93"/>
        <v>0</v>
      </c>
      <c r="H49" s="1909">
        <f t="shared" si="93"/>
        <v>1182650</v>
      </c>
      <c r="I49" s="1610">
        <f>+I50</f>
        <v>12084063</v>
      </c>
      <c r="J49" s="1907">
        <f t="shared" si="94"/>
        <v>10901413</v>
      </c>
      <c r="K49" s="1908">
        <f t="shared" si="94"/>
        <v>0</v>
      </c>
      <c r="L49" s="1908">
        <f t="shared" si="94"/>
        <v>0</v>
      </c>
      <c r="M49" s="1909">
        <f t="shared" si="94"/>
        <v>1182650</v>
      </c>
      <c r="N49" s="1910">
        <f>P49+J49+K49</f>
        <v>10901413</v>
      </c>
      <c r="O49" s="1911">
        <f t="shared" si="60"/>
        <v>90.213142715326782</v>
      </c>
      <c r="P49" s="1912">
        <f>P50</f>
        <v>0</v>
      </c>
      <c r="Q49" s="1912">
        <v>0</v>
      </c>
      <c r="R49" s="1907">
        <f t="shared" si="57"/>
        <v>0</v>
      </c>
      <c r="S49" s="3052"/>
      <c r="T49" s="470"/>
    </row>
    <row r="50" spans="1:20" ht="18.75" customHeight="1" thickBot="1" x14ac:dyDescent="0.25">
      <c r="A50" s="3050"/>
      <c r="B50" s="1913" t="s">
        <v>5</v>
      </c>
      <c r="C50" s="3015"/>
      <c r="D50" s="1914">
        <f>+E50+F50+G50+H50</f>
        <v>12084063</v>
      </c>
      <c r="E50" s="3">
        <f>256114+3490843+7154456</f>
        <v>10901413</v>
      </c>
      <c r="F50" s="1629">
        <v>0</v>
      </c>
      <c r="G50" s="1629">
        <v>0</v>
      </c>
      <c r="H50" s="1915">
        <v>1182650</v>
      </c>
      <c r="I50" s="1914">
        <f>+J50+K50+L50+M50</f>
        <v>12084063</v>
      </c>
      <c r="J50" s="3">
        <f>256114+3490843+7154456</f>
        <v>10901413</v>
      </c>
      <c r="K50" s="1629">
        <v>0</v>
      </c>
      <c r="L50" s="1629">
        <v>0</v>
      </c>
      <c r="M50" s="1915">
        <v>1182650</v>
      </c>
      <c r="N50" s="1623">
        <f>P50+J50+K50</f>
        <v>10901413</v>
      </c>
      <c r="O50" s="1916">
        <f t="shared" si="60"/>
        <v>90.213142715326782</v>
      </c>
      <c r="P50" s="1624">
        <v>0</v>
      </c>
      <c r="Q50" s="1917">
        <v>0</v>
      </c>
      <c r="R50" s="3">
        <f t="shared" si="57"/>
        <v>0</v>
      </c>
      <c r="S50" s="3053"/>
      <c r="T50" s="470"/>
    </row>
    <row r="51" spans="1:20" ht="43.5" customHeight="1" x14ac:dyDescent="0.2">
      <c r="A51" s="3048" t="s">
        <v>43</v>
      </c>
      <c r="B51" s="1182" t="s">
        <v>172</v>
      </c>
      <c r="C51" s="1520" t="s">
        <v>225</v>
      </c>
      <c r="D51" s="1894"/>
      <c r="E51" s="1918"/>
      <c r="F51" s="1918"/>
      <c r="G51" s="1918"/>
      <c r="H51" s="1896"/>
      <c r="I51" s="1894"/>
      <c r="J51" s="1918"/>
      <c r="K51" s="1918"/>
      <c r="L51" s="1918"/>
      <c r="M51" s="1896"/>
      <c r="N51" s="1919"/>
      <c r="O51" s="1898"/>
      <c r="P51" s="1899"/>
      <c r="Q51" s="1898"/>
      <c r="R51" s="1918">
        <f t="shared" si="57"/>
        <v>0</v>
      </c>
      <c r="S51" s="3051" t="s">
        <v>173</v>
      </c>
      <c r="T51" s="470"/>
    </row>
    <row r="52" spans="1:20" ht="13.5" customHeight="1" x14ac:dyDescent="0.2">
      <c r="A52" s="3049"/>
      <c r="B52" s="1920" t="s">
        <v>3</v>
      </c>
      <c r="C52" s="1816"/>
      <c r="D52" s="1921">
        <f>+D53</f>
        <v>500000</v>
      </c>
      <c r="E52" s="1">
        <f t="shared" ref="E52:H53" si="95">E53</f>
        <v>200000</v>
      </c>
      <c r="F52" s="1">
        <f t="shared" si="95"/>
        <v>300000</v>
      </c>
      <c r="G52" s="1922">
        <f t="shared" si="95"/>
        <v>0</v>
      </c>
      <c r="H52" s="1923">
        <f t="shared" si="95"/>
        <v>0</v>
      </c>
      <c r="I52" s="1921">
        <f>+I53</f>
        <v>492000</v>
      </c>
      <c r="J52" s="1">
        <f t="shared" ref="J52:M53" si="96">J53</f>
        <v>200000</v>
      </c>
      <c r="K52" s="1">
        <f t="shared" si="96"/>
        <v>292000</v>
      </c>
      <c r="L52" s="1922">
        <f t="shared" si="96"/>
        <v>0</v>
      </c>
      <c r="M52" s="1923">
        <f t="shared" si="96"/>
        <v>0</v>
      </c>
      <c r="N52" s="1924">
        <f>P52+J52+K52</f>
        <v>492000</v>
      </c>
      <c r="O52" s="1713">
        <f t="shared" si="60"/>
        <v>98.4</v>
      </c>
      <c r="P52" s="1905">
        <f>P53</f>
        <v>0</v>
      </c>
      <c r="Q52" s="1713">
        <v>0</v>
      </c>
      <c r="R52" s="1922">
        <f t="shared" si="57"/>
        <v>0</v>
      </c>
      <c r="S52" s="3052"/>
      <c r="T52" s="470"/>
    </row>
    <row r="53" spans="1:20" ht="14.25" customHeight="1" x14ac:dyDescent="0.2">
      <c r="A53" s="3049"/>
      <c r="B53" s="1925" t="s">
        <v>18</v>
      </c>
      <c r="C53" s="3057" t="s">
        <v>174</v>
      </c>
      <c r="D53" s="1610">
        <f>+D54</f>
        <v>500000</v>
      </c>
      <c r="E53" s="2">
        <f t="shared" si="95"/>
        <v>200000</v>
      </c>
      <c r="F53" s="2">
        <f t="shared" si="95"/>
        <v>300000</v>
      </c>
      <c r="G53" s="1612">
        <f t="shared" si="95"/>
        <v>0</v>
      </c>
      <c r="H53" s="1926">
        <f t="shared" si="95"/>
        <v>0</v>
      </c>
      <c r="I53" s="1610">
        <f>+I54</f>
        <v>492000</v>
      </c>
      <c r="J53" s="2">
        <f t="shared" si="96"/>
        <v>200000</v>
      </c>
      <c r="K53" s="2">
        <f t="shared" si="96"/>
        <v>292000</v>
      </c>
      <c r="L53" s="1612">
        <f t="shared" si="96"/>
        <v>0</v>
      </c>
      <c r="M53" s="1926">
        <f t="shared" si="96"/>
        <v>0</v>
      </c>
      <c r="N53" s="1557">
        <f>P53+J53+K53</f>
        <v>492000</v>
      </c>
      <c r="O53" s="1912">
        <f t="shared" si="60"/>
        <v>98.4</v>
      </c>
      <c r="P53" s="1912">
        <f>P54</f>
        <v>0</v>
      </c>
      <c r="Q53" s="1912">
        <v>0</v>
      </c>
      <c r="R53" s="1612">
        <f t="shared" si="57"/>
        <v>0</v>
      </c>
      <c r="S53" s="3055"/>
      <c r="T53" s="470"/>
    </row>
    <row r="54" spans="1:20" ht="15" customHeight="1" thickBot="1" x14ac:dyDescent="0.25">
      <c r="A54" s="3050"/>
      <c r="B54" s="1927" t="s">
        <v>5</v>
      </c>
      <c r="C54" s="3058"/>
      <c r="D54" s="1928">
        <f>+E54+F54+G54+H54</f>
        <v>500000</v>
      </c>
      <c r="E54" s="1929">
        <v>200000</v>
      </c>
      <c r="F54" s="1929">
        <v>300000</v>
      </c>
      <c r="G54" s="1628">
        <v>0</v>
      </c>
      <c r="H54" s="1930">
        <v>0</v>
      </c>
      <c r="I54" s="1928">
        <f>+J54+K54+L54+M54</f>
        <v>492000</v>
      </c>
      <c r="J54" s="1929">
        <v>200000</v>
      </c>
      <c r="K54" s="1929">
        <v>292000</v>
      </c>
      <c r="L54" s="1628">
        <v>0</v>
      </c>
      <c r="M54" s="1930">
        <v>0</v>
      </c>
      <c r="N54" s="1573">
        <f>P54+J54+K54</f>
        <v>492000</v>
      </c>
      <c r="O54" s="1624">
        <f t="shared" si="60"/>
        <v>98.4</v>
      </c>
      <c r="P54" s="1917">
        <v>0</v>
      </c>
      <c r="Q54" s="1624">
        <v>0</v>
      </c>
      <c r="R54" s="1628">
        <f>+P54-L54*0.25</f>
        <v>0</v>
      </c>
      <c r="S54" s="3056"/>
      <c r="T54" s="470"/>
    </row>
    <row r="55" spans="1:20" ht="56.25" customHeight="1" x14ac:dyDescent="0.2">
      <c r="A55" s="3033" t="s">
        <v>48</v>
      </c>
      <c r="B55" s="1931" t="s">
        <v>295</v>
      </c>
      <c r="C55" s="1520" t="s">
        <v>225</v>
      </c>
      <c r="D55" s="1894"/>
      <c r="E55" s="1918"/>
      <c r="F55" s="1918"/>
      <c r="G55" s="1918"/>
      <c r="H55" s="1932"/>
      <c r="I55" s="1894"/>
      <c r="J55" s="1918"/>
      <c r="K55" s="1918"/>
      <c r="L55" s="1918"/>
      <c r="M55" s="1932"/>
      <c r="N55" s="1688"/>
      <c r="O55" s="1898"/>
      <c r="P55" s="1899"/>
      <c r="Q55" s="1898"/>
      <c r="R55" s="1918">
        <f t="shared" si="57"/>
        <v>0</v>
      </c>
      <c r="S55" s="3036" t="s">
        <v>298</v>
      </c>
      <c r="T55" s="1727"/>
    </row>
    <row r="56" spans="1:20" ht="12.75" customHeight="1" x14ac:dyDescent="0.2">
      <c r="A56" s="3034"/>
      <c r="B56" s="322" t="s">
        <v>3</v>
      </c>
      <c r="C56" s="396"/>
      <c r="D56" s="326">
        <f>+D57+D60</f>
        <v>19698948</v>
      </c>
      <c r="E56" s="324">
        <f>+E57+E60</f>
        <v>0</v>
      </c>
      <c r="F56" s="324">
        <f>F57+F60</f>
        <v>20000</v>
      </c>
      <c r="G56" s="324">
        <f>+G57+G60</f>
        <v>11503475</v>
      </c>
      <c r="H56" s="325">
        <f>+H57+H60</f>
        <v>8175473</v>
      </c>
      <c r="I56" s="326">
        <f>+I57+I60</f>
        <v>19698948</v>
      </c>
      <c r="J56" s="324">
        <f>+J57+J60</f>
        <v>0</v>
      </c>
      <c r="K56" s="324">
        <f>K57+K60</f>
        <v>20000</v>
      </c>
      <c r="L56" s="324">
        <f>+L57+L60</f>
        <v>11503475</v>
      </c>
      <c r="M56" s="325">
        <f>+M57+M60</f>
        <v>8175473</v>
      </c>
      <c r="N56" s="326">
        <f t="shared" ref="N56:N67" si="97">P56+J56+K56</f>
        <v>993252</v>
      </c>
      <c r="O56" s="1875">
        <f t="shared" si="60"/>
        <v>5.0421575812068751</v>
      </c>
      <c r="P56" s="324">
        <f>+P57+P60</f>
        <v>973252</v>
      </c>
      <c r="Q56" s="1875">
        <f t="shared" si="61"/>
        <v>8.4605043258667489</v>
      </c>
      <c r="R56" s="324">
        <f t="shared" si="57"/>
        <v>-1902616.75</v>
      </c>
      <c r="S56" s="3037"/>
      <c r="T56" s="1727"/>
    </row>
    <row r="57" spans="1:20" ht="13.5" customHeight="1" x14ac:dyDescent="0.2">
      <c r="A57" s="3034"/>
      <c r="B57" s="356" t="s">
        <v>18</v>
      </c>
      <c r="C57" s="3031" t="s">
        <v>297</v>
      </c>
      <c r="D57" s="357">
        <f t="shared" ref="D57" si="98">D59+D58</f>
        <v>8612090</v>
      </c>
      <c r="E57" s="358">
        <f>E59+E58</f>
        <v>0</v>
      </c>
      <c r="F57" s="358">
        <f>F59+F58</f>
        <v>5000</v>
      </c>
      <c r="G57" s="358">
        <f t="shared" ref="G57:H57" si="99">G59+G58</f>
        <v>5190259</v>
      </c>
      <c r="H57" s="397">
        <f t="shared" si="99"/>
        <v>3416831</v>
      </c>
      <c r="I57" s="357">
        <f t="shared" ref="I57:M57" si="100">I59+I58</f>
        <v>8612090</v>
      </c>
      <c r="J57" s="358">
        <f>J59+J58</f>
        <v>0</v>
      </c>
      <c r="K57" s="358">
        <f>K59+K58</f>
        <v>5000</v>
      </c>
      <c r="L57" s="358">
        <f t="shared" si="100"/>
        <v>5190259</v>
      </c>
      <c r="M57" s="397">
        <f t="shared" si="100"/>
        <v>3416831</v>
      </c>
      <c r="N57" s="357">
        <f>P57+J57+K57</f>
        <v>978252</v>
      </c>
      <c r="O57" s="1933">
        <f t="shared" si="60"/>
        <v>11.359054538445372</v>
      </c>
      <c r="P57" s="358">
        <f>P59+P58</f>
        <v>973252</v>
      </c>
      <c r="Q57" s="1933">
        <f t="shared" si="61"/>
        <v>18.751511244429228</v>
      </c>
      <c r="R57" s="358">
        <f t="shared" si="57"/>
        <v>-324312.75</v>
      </c>
      <c r="S57" s="3037"/>
      <c r="T57" s="1727"/>
    </row>
    <row r="58" spans="1:20" ht="15" customHeight="1" x14ac:dyDescent="0.2">
      <c r="A58" s="3034"/>
      <c r="B58" s="398" t="s">
        <v>296</v>
      </c>
      <c r="C58" s="3031"/>
      <c r="D58" s="364">
        <f>+E58+F58+G58+H58</f>
        <v>3695620</v>
      </c>
      <c r="E58" s="365"/>
      <c r="F58" s="365">
        <v>5000</v>
      </c>
      <c r="G58" s="365">
        <v>2104406</v>
      </c>
      <c r="H58" s="399">
        <v>1586214</v>
      </c>
      <c r="I58" s="364">
        <f>+J58+K58+L58+M58</f>
        <v>3695620</v>
      </c>
      <c r="J58" s="365"/>
      <c r="K58" s="365">
        <f>5000</f>
        <v>5000</v>
      </c>
      <c r="L58" s="365">
        <v>2104406</v>
      </c>
      <c r="M58" s="399">
        <v>1586214</v>
      </c>
      <c r="N58" s="400">
        <f t="shared" si="97"/>
        <v>5000</v>
      </c>
      <c r="O58" s="1934">
        <f t="shared" si="60"/>
        <v>0.13529529551198444</v>
      </c>
      <c r="P58" s="412"/>
      <c r="Q58" s="1934">
        <f t="shared" si="61"/>
        <v>0</v>
      </c>
      <c r="R58" s="365">
        <f t="shared" si="57"/>
        <v>-526101.5</v>
      </c>
      <c r="S58" s="3037"/>
      <c r="T58" s="1727"/>
    </row>
    <row r="59" spans="1:20" ht="12.75" customHeight="1" x14ac:dyDescent="0.2">
      <c r="A59" s="3034"/>
      <c r="B59" s="398" t="s">
        <v>299</v>
      </c>
      <c r="C59" s="3059"/>
      <c r="D59" s="364">
        <f>+E59+F59+G59+H59</f>
        <v>4916470</v>
      </c>
      <c r="E59" s="365"/>
      <c r="F59" s="365"/>
      <c r="G59" s="365">
        <v>3085853</v>
      </c>
      <c r="H59" s="399">
        <v>1830617</v>
      </c>
      <c r="I59" s="364">
        <f>+J59+K59+L59+M59</f>
        <v>4916470</v>
      </c>
      <c r="J59" s="365"/>
      <c r="K59" s="365"/>
      <c r="L59" s="365">
        <v>3085853</v>
      </c>
      <c r="M59" s="399">
        <v>1830617</v>
      </c>
      <c r="N59" s="364">
        <f>P59+J59+K59</f>
        <v>973252</v>
      </c>
      <c r="O59" s="1934">
        <f t="shared" si="60"/>
        <v>19.795747762113873</v>
      </c>
      <c r="P59" s="365">
        <v>973252</v>
      </c>
      <c r="Q59" s="1934">
        <f t="shared" si="61"/>
        <v>31.539156272187952</v>
      </c>
      <c r="R59" s="365">
        <f t="shared" si="57"/>
        <v>201788.75</v>
      </c>
      <c r="S59" s="3037"/>
    </row>
    <row r="60" spans="1:20" ht="12.75" customHeight="1" x14ac:dyDescent="0.2">
      <c r="A60" s="3034"/>
      <c r="B60" s="370" t="s">
        <v>13</v>
      </c>
      <c r="C60" s="3059"/>
      <c r="D60" s="357">
        <f t="shared" ref="D60:M60" si="101">+D61</f>
        <v>11086858</v>
      </c>
      <c r="E60" s="358">
        <f t="shared" si="101"/>
        <v>0</v>
      </c>
      <c r="F60" s="358">
        <f t="shared" si="101"/>
        <v>15000</v>
      </c>
      <c r="G60" s="358">
        <f t="shared" si="101"/>
        <v>6313216</v>
      </c>
      <c r="H60" s="397">
        <f t="shared" si="101"/>
        <v>4758642</v>
      </c>
      <c r="I60" s="357">
        <f t="shared" si="101"/>
        <v>11086858</v>
      </c>
      <c r="J60" s="358">
        <f t="shared" si="101"/>
        <v>0</v>
      </c>
      <c r="K60" s="358">
        <f t="shared" si="101"/>
        <v>15000</v>
      </c>
      <c r="L60" s="358">
        <f t="shared" si="101"/>
        <v>6313216</v>
      </c>
      <c r="M60" s="397">
        <f t="shared" si="101"/>
        <v>4758642</v>
      </c>
      <c r="N60" s="357">
        <f>P60+J60+K60</f>
        <v>15000</v>
      </c>
      <c r="O60" s="1933">
        <f t="shared" si="60"/>
        <v>0.13529531991841151</v>
      </c>
      <c r="P60" s="358">
        <f>+P61</f>
        <v>0</v>
      </c>
      <c r="Q60" s="1933">
        <f t="shared" si="61"/>
        <v>0</v>
      </c>
      <c r="R60" s="358">
        <f t="shared" si="57"/>
        <v>-1578304</v>
      </c>
      <c r="S60" s="3037"/>
    </row>
    <row r="61" spans="1:20" ht="12.75" customHeight="1" x14ac:dyDescent="0.2">
      <c r="A61" s="3034"/>
      <c r="B61" s="374" t="s">
        <v>16</v>
      </c>
      <c r="C61" s="3059"/>
      <c r="D61" s="364">
        <f>+E61+F61+G61+H61</f>
        <v>11086858</v>
      </c>
      <c r="E61" s="365"/>
      <c r="F61" s="365">
        <v>15000</v>
      </c>
      <c r="G61" s="365">
        <v>6313216</v>
      </c>
      <c r="H61" s="404">
        <v>4758642</v>
      </c>
      <c r="I61" s="364">
        <f>+J61+K61+L61+M61</f>
        <v>11086858</v>
      </c>
      <c r="J61" s="365"/>
      <c r="K61" s="365">
        <f>15000</f>
        <v>15000</v>
      </c>
      <c r="L61" s="365">
        <v>6313216</v>
      </c>
      <c r="M61" s="404">
        <v>4758642</v>
      </c>
      <c r="N61" s="364">
        <f t="shared" si="97"/>
        <v>15000</v>
      </c>
      <c r="O61" s="1934">
        <f t="shared" si="60"/>
        <v>0.13529531991841151</v>
      </c>
      <c r="P61" s="365"/>
      <c r="Q61" s="1934">
        <f t="shared" si="61"/>
        <v>0</v>
      </c>
      <c r="R61" s="365">
        <f t="shared" si="57"/>
        <v>-1578304</v>
      </c>
      <c r="S61" s="3037"/>
    </row>
    <row r="62" spans="1:20" ht="12.75" x14ac:dyDescent="0.2">
      <c r="A62" s="3034"/>
      <c r="B62" s="322" t="s">
        <v>17</v>
      </c>
      <c r="C62" s="378"/>
      <c r="D62" s="326">
        <f>D66+D63</f>
        <v>18383095</v>
      </c>
      <c r="E62" s="324">
        <f>E66</f>
        <v>0</v>
      </c>
      <c r="F62" s="324">
        <f>F66</f>
        <v>15000</v>
      </c>
      <c r="G62" s="324">
        <f>G66+G63</f>
        <v>10529085</v>
      </c>
      <c r="H62" s="405">
        <f>H66+H63</f>
        <v>7834010</v>
      </c>
      <c r="I62" s="326">
        <f>I66+I63</f>
        <v>18383095</v>
      </c>
      <c r="J62" s="324">
        <f>J66</f>
        <v>0</v>
      </c>
      <c r="K62" s="324">
        <f>K66</f>
        <v>15000</v>
      </c>
      <c r="L62" s="324">
        <f>L66+L63</f>
        <v>10529085</v>
      </c>
      <c r="M62" s="405">
        <f>M66+M63</f>
        <v>7834010</v>
      </c>
      <c r="N62" s="326">
        <f>P62+J62+K62</f>
        <v>15000</v>
      </c>
      <c r="O62" s="1875">
        <f t="shared" si="60"/>
        <v>8.1596706104167985E-2</v>
      </c>
      <c r="P62" s="324">
        <f>P66+P63</f>
        <v>0</v>
      </c>
      <c r="Q62" s="1875">
        <f t="shared" si="61"/>
        <v>0</v>
      </c>
      <c r="R62" s="325">
        <f t="shared" si="57"/>
        <v>-2632271.25</v>
      </c>
      <c r="S62" s="3037"/>
    </row>
    <row r="63" spans="1:20" ht="12.75" x14ac:dyDescent="0.2">
      <c r="A63" s="3034"/>
      <c r="B63" s="356" t="s">
        <v>18</v>
      </c>
      <c r="C63" s="406"/>
      <c r="D63" s="407">
        <f>+D64+D65</f>
        <v>7296237</v>
      </c>
      <c r="E63" s="407">
        <f t="shared" ref="E63:H63" si="102">+E64+E65</f>
        <v>0</v>
      </c>
      <c r="F63" s="407">
        <f t="shared" si="102"/>
        <v>5000</v>
      </c>
      <c r="G63" s="407">
        <f t="shared" si="102"/>
        <v>4215869</v>
      </c>
      <c r="H63" s="407">
        <f t="shared" si="102"/>
        <v>3075368</v>
      </c>
      <c r="I63" s="407">
        <f>+I64+I65</f>
        <v>7296237</v>
      </c>
      <c r="J63" s="407">
        <f t="shared" ref="J63:M63" si="103">+J64+J65</f>
        <v>0</v>
      </c>
      <c r="K63" s="407">
        <f t="shared" si="103"/>
        <v>5000</v>
      </c>
      <c r="L63" s="407">
        <f t="shared" si="103"/>
        <v>4215869</v>
      </c>
      <c r="M63" s="407">
        <f t="shared" si="103"/>
        <v>3075368</v>
      </c>
      <c r="N63" s="407">
        <f>+N64+N65</f>
        <v>5000</v>
      </c>
      <c r="O63" s="1935">
        <f t="shared" si="60"/>
        <v>6.8528475706038608E-2</v>
      </c>
      <c r="P63" s="407">
        <f>+P64+P65</f>
        <v>0</v>
      </c>
      <c r="Q63" s="1935">
        <f t="shared" si="61"/>
        <v>0</v>
      </c>
      <c r="R63" s="408">
        <f t="shared" si="57"/>
        <v>-1053967.25</v>
      </c>
      <c r="S63" s="3037"/>
    </row>
    <row r="64" spans="1:20" ht="12.75" x14ac:dyDescent="0.2">
      <c r="A64" s="3034"/>
      <c r="B64" s="398" t="s">
        <v>296</v>
      </c>
      <c r="C64" s="406"/>
      <c r="D64" s="400">
        <f>+E64+F64+G64+H64</f>
        <v>3695620</v>
      </c>
      <c r="E64" s="412">
        <v>0</v>
      </c>
      <c r="F64" s="412">
        <v>5000</v>
      </c>
      <c r="G64" s="412">
        <v>2104406</v>
      </c>
      <c r="H64" s="413">
        <v>1586214</v>
      </c>
      <c r="I64" s="400">
        <f>+J64+K64+L64+M64</f>
        <v>3695620</v>
      </c>
      <c r="J64" s="412">
        <v>0</v>
      </c>
      <c r="K64" s="412">
        <f>5000</f>
        <v>5000</v>
      </c>
      <c r="L64" s="412">
        <v>2104406</v>
      </c>
      <c r="M64" s="413">
        <v>1586214</v>
      </c>
      <c r="N64" s="407">
        <f t="shared" si="97"/>
        <v>5000</v>
      </c>
      <c r="O64" s="1935">
        <f t="shared" si="60"/>
        <v>0.13529529551198444</v>
      </c>
      <c r="P64" s="408"/>
      <c r="Q64" s="1935">
        <f t="shared" si="61"/>
        <v>0</v>
      </c>
      <c r="R64" s="412">
        <f t="shared" si="57"/>
        <v>-526101.5</v>
      </c>
      <c r="S64" s="3037"/>
    </row>
    <row r="65" spans="1:19" ht="12.75" x14ac:dyDescent="0.2">
      <c r="A65" s="3034"/>
      <c r="B65" s="1936" t="s">
        <v>300</v>
      </c>
      <c r="C65" s="406"/>
      <c r="D65" s="400">
        <f>+E65+F65+G65+H65</f>
        <v>3600617</v>
      </c>
      <c r="E65" s="412"/>
      <c r="F65" s="412"/>
      <c r="G65" s="412">
        <v>2111463</v>
      </c>
      <c r="H65" s="413">
        <v>1489154</v>
      </c>
      <c r="I65" s="400">
        <f>+J65+K65+L65+M65</f>
        <v>3600617</v>
      </c>
      <c r="J65" s="412"/>
      <c r="K65" s="412"/>
      <c r="L65" s="412">
        <v>2111463</v>
      </c>
      <c r="M65" s="413">
        <v>1489154</v>
      </c>
      <c r="N65" s="407">
        <v>0</v>
      </c>
      <c r="O65" s="1935">
        <f t="shared" si="60"/>
        <v>0</v>
      </c>
      <c r="P65" s="408"/>
      <c r="Q65" s="1935">
        <f t="shared" si="61"/>
        <v>0</v>
      </c>
      <c r="R65" s="412"/>
      <c r="S65" s="3037"/>
    </row>
    <row r="66" spans="1:19" ht="12.75" customHeight="1" x14ac:dyDescent="0.2">
      <c r="A66" s="3034"/>
      <c r="B66" s="384" t="s">
        <v>13</v>
      </c>
      <c r="C66" s="3031" t="s">
        <v>162</v>
      </c>
      <c r="D66" s="357">
        <f>+D67</f>
        <v>11086858</v>
      </c>
      <c r="E66" s="358">
        <f t="shared" ref="E66:K66" si="104">+E67</f>
        <v>0</v>
      </c>
      <c r="F66" s="358">
        <f t="shared" si="104"/>
        <v>15000</v>
      </c>
      <c r="G66" s="358">
        <f>+G67</f>
        <v>6313216</v>
      </c>
      <c r="H66" s="397">
        <f>+H67</f>
        <v>4758642</v>
      </c>
      <c r="I66" s="357">
        <f>+I67</f>
        <v>11086858</v>
      </c>
      <c r="J66" s="358">
        <f t="shared" si="104"/>
        <v>0</v>
      </c>
      <c r="K66" s="358">
        <f t="shared" si="104"/>
        <v>15000</v>
      </c>
      <c r="L66" s="358">
        <f>+L67</f>
        <v>6313216</v>
      </c>
      <c r="M66" s="397">
        <f>+M67</f>
        <v>4758642</v>
      </c>
      <c r="N66" s="357">
        <f t="shared" si="97"/>
        <v>15000</v>
      </c>
      <c r="O66" s="1933">
        <f t="shared" si="60"/>
        <v>0.13529531991841151</v>
      </c>
      <c r="P66" s="358">
        <f>+P67</f>
        <v>0</v>
      </c>
      <c r="Q66" s="1933">
        <f t="shared" si="61"/>
        <v>0</v>
      </c>
      <c r="R66" s="358">
        <f t="shared" si="57"/>
        <v>-1578304</v>
      </c>
      <c r="S66" s="3037"/>
    </row>
    <row r="67" spans="1:19" ht="13.5" customHeight="1" thickBot="1" x14ac:dyDescent="0.25">
      <c r="A67" s="3035"/>
      <c r="B67" s="385" t="s">
        <v>16</v>
      </c>
      <c r="C67" s="3032"/>
      <c r="D67" s="414">
        <f>+E67+F67+G67+H67</f>
        <v>11086858</v>
      </c>
      <c r="E67" s="415">
        <v>0</v>
      </c>
      <c r="F67" s="415">
        <v>15000</v>
      </c>
      <c r="G67" s="415">
        <v>6313216</v>
      </c>
      <c r="H67" s="416">
        <v>4758642</v>
      </c>
      <c r="I67" s="414">
        <f>+J67+K67+L67+M67</f>
        <v>11086858</v>
      </c>
      <c r="J67" s="415">
        <v>0</v>
      </c>
      <c r="K67" s="415">
        <f>15000</f>
        <v>15000</v>
      </c>
      <c r="L67" s="415">
        <v>6313216</v>
      </c>
      <c r="M67" s="416">
        <v>4758642</v>
      </c>
      <c r="N67" s="414">
        <f t="shared" si="97"/>
        <v>15000</v>
      </c>
      <c r="O67" s="1937">
        <f t="shared" si="60"/>
        <v>0.13529531991841151</v>
      </c>
      <c r="P67" s="415"/>
      <c r="Q67" s="1937">
        <f t="shared" si="61"/>
        <v>0</v>
      </c>
      <c r="R67" s="415">
        <f t="shared" si="57"/>
        <v>-1578304</v>
      </c>
      <c r="S67" s="3038"/>
    </row>
    <row r="68" spans="1:19" x14ac:dyDescent="0.2">
      <c r="A68" s="1750"/>
      <c r="B68" s="1751"/>
      <c r="C68" s="1751"/>
      <c r="D68" s="1751"/>
      <c r="E68" s="1751"/>
      <c r="F68" s="1751"/>
      <c r="G68" s="1751"/>
      <c r="H68" s="1751"/>
      <c r="I68" s="1751"/>
      <c r="J68" s="1751"/>
      <c r="K68" s="1751"/>
      <c r="L68" s="1751"/>
      <c r="M68" s="1751"/>
      <c r="N68" s="1751"/>
      <c r="O68" s="1751"/>
      <c r="S68" s="1938"/>
    </row>
    <row r="69" spans="1:19" x14ac:dyDescent="0.2">
      <c r="A69" s="1750"/>
      <c r="B69" s="1751"/>
      <c r="C69" s="1751"/>
      <c r="D69" s="1751"/>
      <c r="E69" s="1751"/>
      <c r="F69" s="1751"/>
      <c r="G69" s="1751"/>
      <c r="H69" s="1751"/>
      <c r="I69" s="1751"/>
      <c r="J69" s="1751"/>
      <c r="K69" s="1751"/>
      <c r="L69" s="1751"/>
      <c r="M69" s="1751"/>
      <c r="N69" s="1751"/>
      <c r="O69" s="1751"/>
      <c r="S69" s="1938"/>
    </row>
    <row r="70" spans="1:19" x14ac:dyDescent="0.2">
      <c r="E70" s="1751"/>
      <c r="F70" s="1751"/>
      <c r="G70" s="1751"/>
      <c r="H70" s="1751"/>
      <c r="I70" s="1751"/>
      <c r="J70" s="1751"/>
      <c r="K70" s="1751"/>
      <c r="L70" s="1751"/>
      <c r="M70" s="1751"/>
      <c r="N70" s="1751"/>
      <c r="O70" s="1751"/>
      <c r="S70" s="1938"/>
    </row>
    <row r="71" spans="1:19" x14ac:dyDescent="0.2">
      <c r="E71" s="1751"/>
      <c r="F71" s="1751"/>
      <c r="G71" s="1751"/>
      <c r="H71" s="1751"/>
      <c r="I71" s="1751"/>
      <c r="J71" s="1751"/>
      <c r="K71" s="1751"/>
      <c r="L71" s="1751"/>
      <c r="M71" s="1751"/>
      <c r="N71" s="1751"/>
      <c r="O71" s="1751"/>
      <c r="S71" s="1938"/>
    </row>
    <row r="72" spans="1:19" x14ac:dyDescent="0.2">
      <c r="E72" s="1751"/>
      <c r="F72" s="1751"/>
      <c r="G72" s="1751"/>
      <c r="H72" s="1751"/>
      <c r="I72" s="1751"/>
      <c r="J72" s="1751"/>
      <c r="K72" s="1751"/>
      <c r="L72" s="1751"/>
      <c r="M72" s="1751"/>
      <c r="N72" s="1751"/>
      <c r="O72" s="1751"/>
      <c r="S72" s="1938"/>
    </row>
    <row r="73" spans="1:19" x14ac:dyDescent="0.2">
      <c r="E73" s="1751"/>
      <c r="F73" s="1751"/>
      <c r="G73" s="1751"/>
      <c r="H73" s="1751"/>
      <c r="I73" s="1751"/>
      <c r="J73" s="1751"/>
      <c r="K73" s="1751"/>
      <c r="L73" s="1751"/>
      <c r="M73" s="1751"/>
      <c r="N73" s="1751"/>
      <c r="O73" s="1751"/>
      <c r="S73" s="1938"/>
    </row>
    <row r="74" spans="1:19" x14ac:dyDescent="0.2">
      <c r="E74" s="1751"/>
      <c r="F74" s="1751"/>
      <c r="G74" s="1751"/>
      <c r="H74" s="1751"/>
      <c r="I74" s="1751"/>
      <c r="J74" s="1751"/>
      <c r="K74" s="1751"/>
      <c r="L74" s="1751"/>
      <c r="M74" s="1751"/>
      <c r="N74" s="1751"/>
      <c r="O74" s="1751"/>
      <c r="S74" s="1938"/>
    </row>
    <row r="75" spans="1:19" x14ac:dyDescent="0.2">
      <c r="E75" s="1751"/>
      <c r="F75" s="1751"/>
      <c r="G75" s="1751"/>
      <c r="H75" s="1751"/>
      <c r="I75" s="1751"/>
      <c r="J75" s="1751"/>
      <c r="K75" s="1751"/>
      <c r="L75" s="1751"/>
      <c r="M75" s="1751"/>
      <c r="N75" s="1751"/>
      <c r="O75" s="1751"/>
      <c r="S75" s="1938"/>
    </row>
    <row r="76" spans="1:19" x14ac:dyDescent="0.2">
      <c r="E76" s="1751"/>
      <c r="F76" s="1751"/>
      <c r="G76" s="1751"/>
      <c r="H76" s="1751"/>
      <c r="I76" s="1751"/>
      <c r="J76" s="1751"/>
      <c r="K76" s="1751"/>
      <c r="L76" s="1751"/>
      <c r="M76" s="1751"/>
      <c r="N76" s="1751"/>
      <c r="O76" s="1751"/>
      <c r="S76" s="1938"/>
    </row>
    <row r="77" spans="1:19" x14ac:dyDescent="0.2">
      <c r="E77" s="1751"/>
      <c r="F77" s="1751"/>
      <c r="G77" s="1751"/>
      <c r="H77" s="1751"/>
      <c r="I77" s="1751"/>
      <c r="J77" s="1751"/>
      <c r="K77" s="1751"/>
      <c r="L77" s="1751"/>
      <c r="M77" s="1751"/>
      <c r="N77" s="1751"/>
      <c r="O77" s="1751"/>
      <c r="S77" s="1938"/>
    </row>
    <row r="78" spans="1:19" x14ac:dyDescent="0.2">
      <c r="E78" s="1751"/>
      <c r="F78" s="1751"/>
      <c r="G78" s="1751"/>
      <c r="H78" s="1751"/>
      <c r="I78" s="1751"/>
      <c r="J78" s="1751"/>
      <c r="K78" s="1751"/>
      <c r="L78" s="1751"/>
      <c r="M78" s="1751"/>
      <c r="N78" s="1751"/>
      <c r="O78" s="1751"/>
      <c r="S78" s="1938"/>
    </row>
    <row r="79" spans="1:19" x14ac:dyDescent="0.2">
      <c r="E79" s="1751"/>
      <c r="F79" s="1751"/>
      <c r="G79" s="1751"/>
      <c r="H79" s="1751"/>
      <c r="I79" s="1751"/>
      <c r="J79" s="1751"/>
      <c r="K79" s="1751"/>
      <c r="L79" s="1751"/>
      <c r="M79" s="1751"/>
      <c r="N79" s="1751"/>
      <c r="O79" s="1751"/>
      <c r="S79" s="1938"/>
    </row>
    <row r="80" spans="1:19" x14ac:dyDescent="0.2">
      <c r="E80" s="1751"/>
      <c r="F80" s="1751"/>
      <c r="G80" s="1751"/>
      <c r="H80" s="1751"/>
      <c r="I80" s="1751"/>
      <c r="J80" s="1751"/>
      <c r="K80" s="1751"/>
      <c r="L80" s="1751"/>
      <c r="M80" s="1751"/>
      <c r="N80" s="1751"/>
      <c r="O80" s="1751"/>
      <c r="S80" s="1938"/>
    </row>
    <row r="81" spans="5:19" x14ac:dyDescent="0.2">
      <c r="E81" s="1751"/>
      <c r="F81" s="1751"/>
      <c r="G81" s="1751"/>
      <c r="H81" s="1751"/>
      <c r="I81" s="1751"/>
      <c r="J81" s="1751"/>
      <c r="K81" s="1751"/>
      <c r="L81" s="1751"/>
      <c r="M81" s="1751"/>
      <c r="N81" s="1751"/>
      <c r="O81" s="1751"/>
      <c r="S81" s="1938"/>
    </row>
    <row r="82" spans="5:19" x14ac:dyDescent="0.2">
      <c r="E82" s="1751"/>
      <c r="F82" s="1751"/>
      <c r="G82" s="1751"/>
      <c r="H82" s="1751"/>
      <c r="I82" s="1751"/>
      <c r="J82" s="1751"/>
      <c r="K82" s="1751"/>
      <c r="L82" s="1751"/>
      <c r="M82" s="1751"/>
      <c r="N82" s="1751"/>
      <c r="O82" s="1751"/>
      <c r="S82" s="1938"/>
    </row>
    <row r="83" spans="5:19" x14ac:dyDescent="0.2">
      <c r="E83" s="1751"/>
      <c r="F83" s="1751"/>
      <c r="G83" s="1751"/>
      <c r="H83" s="1751"/>
      <c r="I83" s="1751"/>
      <c r="J83" s="1751"/>
      <c r="K83" s="1751"/>
      <c r="L83" s="1751"/>
      <c r="M83" s="1751"/>
      <c r="N83" s="1751"/>
      <c r="O83" s="1751"/>
      <c r="S83" s="1938"/>
    </row>
    <row r="84" spans="5:19" x14ac:dyDescent="0.2">
      <c r="E84" s="1751"/>
      <c r="F84" s="1751"/>
      <c r="G84" s="1751"/>
      <c r="H84" s="1751"/>
      <c r="I84" s="1751"/>
      <c r="J84" s="1751"/>
      <c r="K84" s="1751"/>
      <c r="L84" s="1751"/>
      <c r="M84" s="1751"/>
      <c r="N84" s="1751"/>
      <c r="O84" s="1751"/>
      <c r="S84" s="1938"/>
    </row>
    <row r="85" spans="5:19" x14ac:dyDescent="0.2">
      <c r="E85" s="1751"/>
      <c r="F85" s="1751"/>
      <c r="G85" s="1751"/>
      <c r="H85" s="1751"/>
      <c r="I85" s="1751"/>
      <c r="J85" s="1751"/>
      <c r="K85" s="1751"/>
      <c r="L85" s="1751"/>
      <c r="M85" s="1751"/>
      <c r="N85" s="1751"/>
      <c r="O85" s="1751"/>
      <c r="S85" s="1938"/>
    </row>
    <row r="86" spans="5:19" x14ac:dyDescent="0.2">
      <c r="E86" s="1751"/>
      <c r="F86" s="1751"/>
      <c r="G86" s="1751"/>
      <c r="H86" s="1751"/>
      <c r="I86" s="1751"/>
      <c r="J86" s="1751"/>
      <c r="K86" s="1751"/>
      <c r="L86" s="1751"/>
      <c r="M86" s="1751"/>
      <c r="N86" s="1751"/>
      <c r="O86" s="1751"/>
      <c r="S86" s="1938"/>
    </row>
    <row r="87" spans="5:19" x14ac:dyDescent="0.2">
      <c r="E87" s="1751"/>
      <c r="F87" s="1751"/>
      <c r="G87" s="1751"/>
      <c r="H87" s="1751"/>
      <c r="I87" s="1751"/>
      <c r="J87" s="1751"/>
      <c r="K87" s="1751"/>
      <c r="L87" s="1751"/>
      <c r="M87" s="1751"/>
      <c r="N87" s="1751"/>
      <c r="O87" s="1751"/>
      <c r="S87" s="1938"/>
    </row>
    <row r="88" spans="5:19" x14ac:dyDescent="0.2">
      <c r="E88" s="1751"/>
      <c r="F88" s="1751"/>
      <c r="G88" s="1751"/>
      <c r="H88" s="1751"/>
      <c r="I88" s="1751"/>
      <c r="J88" s="1751"/>
      <c r="K88" s="1751"/>
      <c r="L88" s="1751"/>
      <c r="M88" s="1751"/>
      <c r="N88" s="1751"/>
      <c r="O88" s="1751"/>
      <c r="S88" s="1938"/>
    </row>
    <row r="89" spans="5:19" x14ac:dyDescent="0.2">
      <c r="E89" s="1751"/>
      <c r="F89" s="1751"/>
      <c r="G89" s="1751"/>
      <c r="H89" s="1751"/>
      <c r="I89" s="1751"/>
      <c r="J89" s="1751"/>
      <c r="K89" s="1751"/>
      <c r="L89" s="1751"/>
      <c r="M89" s="1751"/>
      <c r="N89" s="1751"/>
      <c r="O89" s="1751"/>
      <c r="S89" s="1938"/>
    </row>
    <row r="90" spans="5:19" x14ac:dyDescent="0.2">
      <c r="E90" s="1751"/>
      <c r="F90" s="1751"/>
      <c r="G90" s="1751"/>
      <c r="H90" s="1751"/>
      <c r="I90" s="1751"/>
      <c r="J90" s="1751"/>
      <c r="K90" s="1751"/>
      <c r="L90" s="1751"/>
      <c r="M90" s="1751"/>
      <c r="N90" s="1751"/>
      <c r="O90" s="1751"/>
      <c r="S90" s="1938"/>
    </row>
    <row r="91" spans="5:19" x14ac:dyDescent="0.2">
      <c r="E91" s="1751"/>
      <c r="F91" s="1751"/>
      <c r="G91" s="1751"/>
      <c r="H91" s="1751"/>
      <c r="I91" s="1751"/>
      <c r="J91" s="1751"/>
      <c r="K91" s="1751"/>
      <c r="L91" s="1751"/>
      <c r="M91" s="1751"/>
      <c r="N91" s="1751"/>
      <c r="O91" s="1751"/>
      <c r="S91" s="1938"/>
    </row>
    <row r="92" spans="5:19" x14ac:dyDescent="0.2">
      <c r="E92" s="1751"/>
      <c r="F92" s="1751"/>
      <c r="G92" s="1751"/>
      <c r="H92" s="1751"/>
      <c r="I92" s="1751"/>
      <c r="J92" s="1751"/>
      <c r="K92" s="1751"/>
      <c r="L92" s="1751"/>
      <c r="M92" s="1751"/>
      <c r="N92" s="1751"/>
      <c r="O92" s="1751"/>
      <c r="S92" s="1938"/>
    </row>
    <row r="93" spans="5:19" x14ac:dyDescent="0.2">
      <c r="E93" s="1751"/>
      <c r="F93" s="1751"/>
      <c r="G93" s="1751"/>
      <c r="H93" s="1751"/>
      <c r="I93" s="1751"/>
      <c r="J93" s="1751"/>
      <c r="K93" s="1751"/>
      <c r="L93" s="1751"/>
      <c r="M93" s="1751"/>
      <c r="N93" s="1751"/>
      <c r="O93" s="1751"/>
      <c r="S93" s="1938"/>
    </row>
    <row r="94" spans="5:19" x14ac:dyDescent="0.2">
      <c r="E94" s="1751"/>
      <c r="F94" s="1751"/>
      <c r="G94" s="1751"/>
      <c r="H94" s="1751"/>
      <c r="I94" s="1751"/>
      <c r="J94" s="1751"/>
      <c r="K94" s="1751"/>
      <c r="L94" s="1751"/>
      <c r="M94" s="1751"/>
      <c r="N94" s="1751"/>
      <c r="O94" s="1751"/>
      <c r="S94" s="1938"/>
    </row>
    <row r="95" spans="5:19" x14ac:dyDescent="0.2">
      <c r="E95" s="1751"/>
      <c r="F95" s="1751"/>
      <c r="G95" s="1751"/>
      <c r="H95" s="1751"/>
      <c r="I95" s="1751"/>
      <c r="J95" s="1751"/>
      <c r="K95" s="1751"/>
      <c r="L95" s="1751"/>
      <c r="M95" s="1751"/>
      <c r="N95" s="1751"/>
      <c r="O95" s="1751"/>
      <c r="S95" s="1938"/>
    </row>
    <row r="96" spans="5:19" x14ac:dyDescent="0.2">
      <c r="E96" s="1751"/>
      <c r="F96" s="1751"/>
      <c r="G96" s="1751"/>
      <c r="H96" s="1751"/>
      <c r="I96" s="1751"/>
      <c r="J96" s="1751"/>
      <c r="K96" s="1751"/>
      <c r="L96" s="1751"/>
      <c r="M96" s="1751"/>
      <c r="N96" s="1751"/>
      <c r="O96" s="1751"/>
      <c r="S96" s="1938"/>
    </row>
    <row r="97" spans="5:19" x14ac:dyDescent="0.2">
      <c r="E97" s="1751"/>
      <c r="F97" s="1751"/>
      <c r="G97" s="1751"/>
      <c r="H97" s="1751"/>
      <c r="I97" s="1751"/>
      <c r="J97" s="1751"/>
      <c r="K97" s="1751"/>
      <c r="L97" s="1751"/>
      <c r="M97" s="1751"/>
      <c r="N97" s="1751"/>
      <c r="O97" s="1751"/>
      <c r="S97" s="1938"/>
    </row>
    <row r="98" spans="5:19" x14ac:dyDescent="0.2">
      <c r="E98" s="1751"/>
      <c r="F98" s="1751"/>
      <c r="G98" s="1751"/>
      <c r="H98" s="1751"/>
      <c r="I98" s="1751"/>
      <c r="J98" s="1751"/>
      <c r="K98" s="1751"/>
      <c r="L98" s="1751"/>
      <c r="M98" s="1751"/>
      <c r="N98" s="1751"/>
      <c r="O98" s="1751"/>
      <c r="S98" s="1938"/>
    </row>
    <row r="99" spans="5:19" x14ac:dyDescent="0.2">
      <c r="E99" s="1751"/>
      <c r="F99" s="1751"/>
      <c r="G99" s="1751"/>
      <c r="H99" s="1751"/>
      <c r="I99" s="1751"/>
      <c r="J99" s="1751"/>
      <c r="K99" s="1751"/>
      <c r="L99" s="1751"/>
      <c r="M99" s="1751"/>
      <c r="N99" s="1751"/>
      <c r="O99" s="1751"/>
      <c r="S99" s="1938"/>
    </row>
    <row r="100" spans="5:19" x14ac:dyDescent="0.2">
      <c r="E100" s="1751"/>
      <c r="F100" s="1751"/>
      <c r="G100" s="1751"/>
      <c r="H100" s="1751"/>
      <c r="I100" s="1751"/>
      <c r="J100" s="1751"/>
      <c r="K100" s="1751"/>
      <c r="L100" s="1751"/>
      <c r="M100" s="1751"/>
      <c r="N100" s="1751"/>
      <c r="O100" s="1751"/>
      <c r="S100" s="1938"/>
    </row>
    <row r="101" spans="5:19" x14ac:dyDescent="0.2">
      <c r="E101" s="1751"/>
      <c r="F101" s="1751"/>
      <c r="G101" s="1751"/>
      <c r="H101" s="1751"/>
      <c r="I101" s="1751"/>
      <c r="J101" s="1751"/>
      <c r="K101" s="1751"/>
      <c r="L101" s="1751"/>
      <c r="M101" s="1751"/>
      <c r="N101" s="1751"/>
      <c r="O101" s="1751"/>
      <c r="S101" s="1938"/>
    </row>
    <row r="102" spans="5:19" x14ac:dyDescent="0.2">
      <c r="E102" s="1751"/>
      <c r="F102" s="1751"/>
      <c r="G102" s="1751"/>
      <c r="H102" s="1751"/>
      <c r="I102" s="1751"/>
      <c r="J102" s="1751"/>
      <c r="K102" s="1751"/>
      <c r="L102" s="1751"/>
      <c r="M102" s="1751"/>
      <c r="N102" s="1751"/>
      <c r="O102" s="1751"/>
      <c r="S102" s="1938"/>
    </row>
    <row r="103" spans="5:19" x14ac:dyDescent="0.2">
      <c r="E103" s="1751"/>
      <c r="F103" s="1751"/>
      <c r="G103" s="1751"/>
      <c r="H103" s="1751"/>
      <c r="I103" s="1751"/>
      <c r="J103" s="1751"/>
      <c r="K103" s="1751"/>
      <c r="L103" s="1751"/>
      <c r="M103" s="1751"/>
      <c r="N103" s="1751"/>
      <c r="O103" s="1751"/>
      <c r="S103" s="1938"/>
    </row>
    <row r="104" spans="5:19" x14ac:dyDescent="0.2">
      <c r="E104" s="1751"/>
      <c r="F104" s="1751"/>
      <c r="G104" s="1751"/>
      <c r="H104" s="1751"/>
      <c r="I104" s="1751"/>
      <c r="J104" s="1751"/>
      <c r="K104" s="1751"/>
      <c r="L104" s="1751"/>
      <c r="M104" s="1751"/>
      <c r="N104" s="1751"/>
      <c r="O104" s="1751"/>
      <c r="S104" s="1938"/>
    </row>
    <row r="105" spans="5:19" x14ac:dyDescent="0.2">
      <c r="E105" s="1751"/>
      <c r="F105" s="1751"/>
      <c r="G105" s="1751"/>
      <c r="H105" s="1751"/>
      <c r="I105" s="1751"/>
      <c r="J105" s="1751"/>
      <c r="K105" s="1751"/>
      <c r="L105" s="1751"/>
      <c r="M105" s="1751"/>
      <c r="N105" s="1751"/>
      <c r="O105" s="1751"/>
      <c r="S105" s="1938"/>
    </row>
    <row r="106" spans="5:19" x14ac:dyDescent="0.2">
      <c r="E106" s="1751"/>
      <c r="F106" s="1751"/>
      <c r="G106" s="1751"/>
      <c r="H106" s="1751"/>
      <c r="I106" s="1751"/>
      <c r="J106" s="1751"/>
      <c r="K106" s="1751"/>
      <c r="L106" s="1751"/>
      <c r="M106" s="1751"/>
      <c r="N106" s="1751"/>
      <c r="O106" s="1751"/>
      <c r="S106" s="1938"/>
    </row>
    <row r="107" spans="5:19" x14ac:dyDescent="0.2">
      <c r="E107" s="1751"/>
      <c r="F107" s="1751"/>
      <c r="G107" s="1751"/>
      <c r="H107" s="1751"/>
      <c r="I107" s="1751"/>
      <c r="J107" s="1751"/>
      <c r="K107" s="1751"/>
      <c r="L107" s="1751"/>
      <c r="M107" s="1751"/>
      <c r="N107" s="1751"/>
      <c r="O107" s="1751"/>
      <c r="S107" s="1938"/>
    </row>
    <row r="108" spans="5:19" x14ac:dyDescent="0.2">
      <c r="E108" s="1751"/>
      <c r="F108" s="1751"/>
      <c r="G108" s="1751"/>
      <c r="H108" s="1751"/>
      <c r="I108" s="1751"/>
      <c r="J108" s="1751"/>
      <c r="K108" s="1751"/>
      <c r="L108" s="1751"/>
      <c r="M108" s="1751"/>
      <c r="N108" s="1751"/>
      <c r="O108" s="1751"/>
      <c r="S108" s="1938"/>
    </row>
    <row r="109" spans="5:19" x14ac:dyDescent="0.2">
      <c r="E109" s="1751"/>
      <c r="F109" s="1751"/>
      <c r="G109" s="1751"/>
      <c r="H109" s="1751"/>
      <c r="I109" s="1751"/>
      <c r="J109" s="1751"/>
      <c r="K109" s="1751"/>
      <c r="L109" s="1751"/>
      <c r="M109" s="1751"/>
      <c r="N109" s="1751"/>
      <c r="O109" s="1751"/>
      <c r="S109" s="1938"/>
    </row>
    <row r="110" spans="5:19" x14ac:dyDescent="0.2">
      <c r="E110" s="1751"/>
      <c r="F110" s="1751"/>
      <c r="G110" s="1751"/>
      <c r="H110" s="1751"/>
      <c r="I110" s="1751"/>
      <c r="J110" s="1751"/>
      <c r="K110" s="1751"/>
      <c r="L110" s="1751"/>
      <c r="M110" s="1751"/>
      <c r="N110" s="1751"/>
      <c r="O110" s="1751"/>
      <c r="S110" s="1938"/>
    </row>
    <row r="111" spans="5:19" x14ac:dyDescent="0.2">
      <c r="E111" s="1751"/>
      <c r="F111" s="1751"/>
      <c r="G111" s="1751"/>
      <c r="H111" s="1751"/>
      <c r="I111" s="1751"/>
      <c r="J111" s="1751"/>
      <c r="K111" s="1751"/>
      <c r="L111" s="1751"/>
      <c r="M111" s="1751"/>
      <c r="N111" s="1751"/>
      <c r="O111" s="1751"/>
      <c r="S111" s="1938"/>
    </row>
    <row r="112" spans="5:19" x14ac:dyDescent="0.2">
      <c r="E112" s="1751"/>
      <c r="F112" s="1751"/>
      <c r="G112" s="1751"/>
      <c r="H112" s="1751"/>
      <c r="I112" s="1751"/>
      <c r="J112" s="1751"/>
      <c r="K112" s="1751"/>
      <c r="L112" s="1751"/>
      <c r="M112" s="1751"/>
      <c r="N112" s="1751"/>
      <c r="O112" s="1751"/>
      <c r="S112" s="1938"/>
    </row>
    <row r="113" spans="5:19" x14ac:dyDescent="0.2">
      <c r="E113" s="1751"/>
      <c r="F113" s="1751"/>
      <c r="G113" s="1751"/>
      <c r="H113" s="1751"/>
      <c r="I113" s="1751"/>
      <c r="J113" s="1751"/>
      <c r="K113" s="1751"/>
      <c r="L113" s="1751"/>
      <c r="M113" s="1751"/>
      <c r="N113" s="1751"/>
      <c r="O113" s="1751"/>
      <c r="S113" s="1938"/>
    </row>
    <row r="114" spans="5:19" x14ac:dyDescent="0.2">
      <c r="E114" s="1751"/>
      <c r="F114" s="1751"/>
      <c r="G114" s="1751"/>
      <c r="H114" s="1751"/>
      <c r="I114" s="1751"/>
      <c r="J114" s="1751"/>
      <c r="K114" s="1751"/>
      <c r="L114" s="1751"/>
      <c r="M114" s="1751"/>
      <c r="N114" s="1751"/>
      <c r="O114" s="1751"/>
      <c r="S114" s="1938"/>
    </row>
    <row r="115" spans="5:19" x14ac:dyDescent="0.2">
      <c r="E115" s="1751"/>
      <c r="F115" s="1751"/>
      <c r="G115" s="1751"/>
      <c r="H115" s="1751"/>
      <c r="I115" s="1751"/>
      <c r="J115" s="1751"/>
      <c r="K115" s="1751"/>
      <c r="L115" s="1751"/>
      <c r="M115" s="1751"/>
      <c r="N115" s="1751"/>
      <c r="O115" s="1751"/>
      <c r="S115" s="1938"/>
    </row>
    <row r="116" spans="5:19" x14ac:dyDescent="0.2">
      <c r="E116" s="1751"/>
      <c r="F116" s="1751"/>
      <c r="G116" s="1751"/>
      <c r="H116" s="1751"/>
      <c r="I116" s="1751"/>
      <c r="J116" s="1751"/>
      <c r="K116" s="1751"/>
      <c r="L116" s="1751"/>
      <c r="M116" s="1751"/>
      <c r="N116" s="1751"/>
      <c r="O116" s="1751"/>
      <c r="S116" s="1938"/>
    </row>
    <row r="117" spans="5:19" x14ac:dyDescent="0.2">
      <c r="E117" s="1751"/>
      <c r="F117" s="1751"/>
      <c r="G117" s="1751"/>
      <c r="H117" s="1751"/>
      <c r="I117" s="1751"/>
      <c r="J117" s="1751"/>
      <c r="K117" s="1751"/>
      <c r="L117" s="1751"/>
      <c r="M117" s="1751"/>
      <c r="N117" s="1751"/>
      <c r="O117" s="1751"/>
      <c r="S117" s="1938"/>
    </row>
    <row r="118" spans="5:19" x14ac:dyDescent="0.2">
      <c r="E118" s="1751"/>
      <c r="F118" s="1751"/>
      <c r="G118" s="1751"/>
      <c r="H118" s="1751"/>
      <c r="I118" s="1751"/>
      <c r="J118" s="1751"/>
      <c r="K118" s="1751"/>
      <c r="L118" s="1751"/>
      <c r="M118" s="1751"/>
      <c r="N118" s="1751"/>
      <c r="O118" s="1751"/>
      <c r="S118" s="1938"/>
    </row>
    <row r="119" spans="5:19" x14ac:dyDescent="0.2">
      <c r="E119" s="1751"/>
      <c r="F119" s="1751"/>
      <c r="G119" s="1751"/>
      <c r="H119" s="1751"/>
      <c r="I119" s="1751"/>
      <c r="J119" s="1751"/>
      <c r="K119" s="1751"/>
      <c r="L119" s="1751"/>
      <c r="M119" s="1751"/>
      <c r="N119" s="1751"/>
      <c r="O119" s="1751"/>
      <c r="S119" s="1938"/>
    </row>
    <row r="120" spans="5:19" x14ac:dyDescent="0.2">
      <c r="E120" s="1751"/>
      <c r="F120" s="1751"/>
      <c r="G120" s="1751"/>
      <c r="H120" s="1751"/>
      <c r="I120" s="1751"/>
      <c r="J120" s="1751"/>
      <c r="K120" s="1751"/>
      <c r="L120" s="1751"/>
      <c r="M120" s="1751"/>
      <c r="N120" s="1751"/>
      <c r="O120" s="1751"/>
      <c r="S120" s="1938"/>
    </row>
    <row r="121" spans="5:19" x14ac:dyDescent="0.2">
      <c r="E121" s="1751"/>
      <c r="F121" s="1751"/>
      <c r="G121" s="1751"/>
      <c r="H121" s="1751"/>
      <c r="I121" s="1751"/>
      <c r="J121" s="1751"/>
      <c r="K121" s="1751"/>
      <c r="L121" s="1751"/>
      <c r="M121" s="1751"/>
      <c r="N121" s="1751"/>
      <c r="O121" s="1751"/>
      <c r="S121" s="1938"/>
    </row>
    <row r="122" spans="5:19" x14ac:dyDescent="0.2">
      <c r="E122" s="1751"/>
      <c r="F122" s="1751"/>
      <c r="G122" s="1751"/>
      <c r="H122" s="1751"/>
      <c r="I122" s="1751"/>
      <c r="J122" s="1751"/>
      <c r="K122" s="1751"/>
      <c r="L122" s="1751"/>
      <c r="M122" s="1751"/>
      <c r="N122" s="1751"/>
      <c r="O122" s="1751"/>
      <c r="S122" s="1938"/>
    </row>
    <row r="123" spans="5:19" x14ac:dyDescent="0.2">
      <c r="E123" s="1751"/>
      <c r="F123" s="1751"/>
      <c r="G123" s="1751"/>
      <c r="H123" s="1751"/>
      <c r="I123" s="1751"/>
      <c r="J123" s="1751"/>
      <c r="K123" s="1751"/>
      <c r="L123" s="1751"/>
      <c r="M123" s="1751"/>
      <c r="N123" s="1751"/>
      <c r="O123" s="1751"/>
      <c r="S123" s="1938"/>
    </row>
    <row r="124" spans="5:19" x14ac:dyDescent="0.2">
      <c r="E124" s="1751"/>
      <c r="F124" s="1751"/>
      <c r="G124" s="1751"/>
      <c r="H124" s="1751"/>
      <c r="I124" s="1751"/>
      <c r="J124" s="1751"/>
      <c r="K124" s="1751"/>
      <c r="L124" s="1751"/>
      <c r="M124" s="1751"/>
      <c r="N124" s="1751"/>
      <c r="O124" s="1751"/>
      <c r="S124" s="1938"/>
    </row>
    <row r="125" spans="5:19" x14ac:dyDescent="0.2">
      <c r="E125" s="1751"/>
      <c r="F125" s="1751"/>
      <c r="G125" s="1751"/>
      <c r="H125" s="1751"/>
      <c r="I125" s="1751"/>
      <c r="J125" s="1751"/>
      <c r="K125" s="1751"/>
      <c r="L125" s="1751"/>
      <c r="M125" s="1751"/>
      <c r="N125" s="1751"/>
      <c r="O125" s="1751"/>
      <c r="S125" s="1938"/>
    </row>
    <row r="126" spans="5:19" x14ac:dyDescent="0.2">
      <c r="E126" s="1751"/>
      <c r="F126" s="1751"/>
      <c r="G126" s="1751"/>
      <c r="H126" s="1751"/>
      <c r="I126" s="1751"/>
      <c r="J126" s="1751"/>
      <c r="K126" s="1751"/>
      <c r="L126" s="1751"/>
      <c r="M126" s="1751"/>
      <c r="N126" s="1751"/>
      <c r="O126" s="1751"/>
      <c r="S126" s="1938"/>
    </row>
    <row r="127" spans="5:19" x14ac:dyDescent="0.2">
      <c r="E127" s="1751"/>
      <c r="F127" s="1751"/>
      <c r="G127" s="1751"/>
      <c r="H127" s="1751"/>
      <c r="I127" s="1751"/>
      <c r="J127" s="1751"/>
      <c r="K127" s="1751"/>
      <c r="L127" s="1751"/>
      <c r="M127" s="1751"/>
      <c r="N127" s="1751"/>
      <c r="O127" s="1751"/>
      <c r="S127" s="1938"/>
    </row>
    <row r="128" spans="5:19" x14ac:dyDescent="0.2">
      <c r="E128" s="1751"/>
      <c r="F128" s="1751"/>
      <c r="G128" s="1751"/>
      <c r="H128" s="1751"/>
      <c r="I128" s="1751"/>
      <c r="J128" s="1751"/>
      <c r="K128" s="1751"/>
      <c r="L128" s="1751"/>
      <c r="M128" s="1751"/>
      <c r="N128" s="1751"/>
      <c r="O128" s="1751"/>
      <c r="S128" s="1938"/>
    </row>
    <row r="129" spans="5:19" x14ac:dyDescent="0.2">
      <c r="E129" s="1751"/>
      <c r="F129" s="1751"/>
      <c r="G129" s="1751"/>
      <c r="H129" s="1751"/>
      <c r="I129" s="1751"/>
      <c r="J129" s="1751"/>
      <c r="K129" s="1751"/>
      <c r="L129" s="1751"/>
      <c r="M129" s="1751"/>
      <c r="N129" s="1751"/>
      <c r="O129" s="1751"/>
      <c r="S129" s="1938"/>
    </row>
    <row r="130" spans="5:19" x14ac:dyDescent="0.2">
      <c r="E130" s="1751"/>
      <c r="F130" s="1751"/>
      <c r="G130" s="1751"/>
      <c r="H130" s="1751"/>
      <c r="I130" s="1751"/>
      <c r="J130" s="1751"/>
      <c r="K130" s="1751"/>
      <c r="L130" s="1751"/>
      <c r="M130" s="1751"/>
      <c r="N130" s="1751"/>
      <c r="O130" s="1751"/>
      <c r="S130" s="1938"/>
    </row>
    <row r="131" spans="5:19" x14ac:dyDescent="0.2">
      <c r="E131" s="1751"/>
      <c r="F131" s="1751"/>
      <c r="G131" s="1751"/>
      <c r="H131" s="1751"/>
      <c r="I131" s="1751"/>
      <c r="J131" s="1751"/>
      <c r="K131" s="1751"/>
      <c r="L131" s="1751"/>
      <c r="M131" s="1751"/>
      <c r="N131" s="1751"/>
      <c r="O131" s="1751"/>
      <c r="S131" s="1938"/>
    </row>
    <row r="132" spans="5:19" x14ac:dyDescent="0.2">
      <c r="E132" s="1751"/>
      <c r="F132" s="1751"/>
      <c r="G132" s="1751"/>
      <c r="H132" s="1751"/>
      <c r="I132" s="1751"/>
      <c r="J132" s="1751"/>
      <c r="K132" s="1751"/>
      <c r="L132" s="1751"/>
      <c r="M132" s="1751"/>
      <c r="N132" s="1751"/>
      <c r="O132" s="1751"/>
      <c r="S132" s="1938"/>
    </row>
    <row r="133" spans="5:19" x14ac:dyDescent="0.2">
      <c r="E133" s="1751"/>
      <c r="F133" s="1751"/>
      <c r="G133" s="1751"/>
      <c r="H133" s="1751"/>
      <c r="I133" s="1751"/>
      <c r="J133" s="1751"/>
      <c r="K133" s="1751"/>
      <c r="L133" s="1751"/>
      <c r="M133" s="1751"/>
      <c r="N133" s="1751"/>
      <c r="O133" s="1751"/>
      <c r="S133" s="1938"/>
    </row>
    <row r="134" spans="5:19" x14ac:dyDescent="0.2">
      <c r="E134" s="1751"/>
      <c r="F134" s="1751"/>
      <c r="G134" s="1751"/>
      <c r="H134" s="1751"/>
      <c r="I134" s="1751"/>
      <c r="J134" s="1751"/>
      <c r="K134" s="1751"/>
      <c r="L134" s="1751"/>
      <c r="M134" s="1751"/>
      <c r="N134" s="1751"/>
      <c r="O134" s="1751"/>
      <c r="S134" s="1938"/>
    </row>
    <row r="135" spans="5:19" x14ac:dyDescent="0.2">
      <c r="E135" s="1751"/>
      <c r="F135" s="1751"/>
      <c r="G135" s="1751"/>
      <c r="H135" s="1751"/>
      <c r="I135" s="1751"/>
      <c r="J135" s="1751"/>
      <c r="K135" s="1751"/>
      <c r="L135" s="1751"/>
      <c r="M135" s="1751"/>
      <c r="N135" s="1751"/>
      <c r="O135" s="1751"/>
      <c r="S135" s="1938"/>
    </row>
    <row r="136" spans="5:19" x14ac:dyDescent="0.2">
      <c r="E136" s="1751"/>
      <c r="F136" s="1751"/>
      <c r="G136" s="1751"/>
      <c r="H136" s="1751"/>
      <c r="I136" s="1751"/>
      <c r="J136" s="1751"/>
      <c r="K136" s="1751"/>
      <c r="L136" s="1751"/>
      <c r="M136" s="1751"/>
      <c r="N136" s="1751"/>
      <c r="O136" s="1751"/>
      <c r="S136" s="1938"/>
    </row>
    <row r="137" spans="5:19" x14ac:dyDescent="0.2">
      <c r="E137" s="1751"/>
      <c r="F137" s="1751"/>
      <c r="G137" s="1751"/>
      <c r="H137" s="1751"/>
      <c r="I137" s="1751"/>
      <c r="J137" s="1751"/>
      <c r="K137" s="1751"/>
      <c r="L137" s="1751"/>
      <c r="M137" s="1751"/>
      <c r="N137" s="1751"/>
      <c r="O137" s="1751"/>
      <c r="S137" s="1938"/>
    </row>
    <row r="138" spans="5:19" x14ac:dyDescent="0.2">
      <c r="E138" s="1751"/>
      <c r="F138" s="1751"/>
      <c r="G138" s="1751"/>
      <c r="H138" s="1751"/>
      <c r="I138" s="1751"/>
      <c r="J138" s="1751"/>
      <c r="K138" s="1751"/>
      <c r="L138" s="1751"/>
      <c r="M138" s="1751"/>
      <c r="N138" s="1751"/>
      <c r="O138" s="1751"/>
      <c r="S138" s="1938"/>
    </row>
    <row r="139" spans="5:19" x14ac:dyDescent="0.2">
      <c r="E139" s="1751"/>
      <c r="F139" s="1751"/>
      <c r="G139" s="1751"/>
      <c r="H139" s="1751"/>
      <c r="I139" s="1751"/>
      <c r="J139" s="1751"/>
      <c r="K139" s="1751"/>
      <c r="L139" s="1751"/>
      <c r="M139" s="1751"/>
      <c r="N139" s="1751"/>
      <c r="O139" s="1751"/>
      <c r="S139" s="1938"/>
    </row>
    <row r="140" spans="5:19" x14ac:dyDescent="0.2">
      <c r="E140" s="1751"/>
      <c r="F140" s="1751"/>
      <c r="G140" s="1751"/>
      <c r="H140" s="1751"/>
      <c r="I140" s="1751"/>
      <c r="J140" s="1751"/>
      <c r="K140" s="1751"/>
      <c r="L140" s="1751"/>
      <c r="M140" s="1751"/>
      <c r="N140" s="1751"/>
      <c r="O140" s="1751"/>
      <c r="S140" s="1938"/>
    </row>
    <row r="141" spans="5:19" x14ac:dyDescent="0.2">
      <c r="E141" s="1751"/>
      <c r="F141" s="1751"/>
      <c r="G141" s="1751"/>
      <c r="H141" s="1751"/>
      <c r="I141" s="1751"/>
      <c r="J141" s="1751"/>
      <c r="K141" s="1751"/>
      <c r="L141" s="1751"/>
      <c r="M141" s="1751"/>
      <c r="N141" s="1751"/>
      <c r="O141" s="1751"/>
      <c r="S141" s="1938"/>
    </row>
    <row r="142" spans="5:19" x14ac:dyDescent="0.2">
      <c r="E142" s="1751"/>
      <c r="F142" s="1751"/>
      <c r="G142" s="1751"/>
      <c r="H142" s="1751"/>
      <c r="I142" s="1751"/>
      <c r="J142" s="1751"/>
      <c r="K142" s="1751"/>
      <c r="L142" s="1751"/>
      <c r="M142" s="1751"/>
      <c r="N142" s="1751"/>
      <c r="O142" s="1751"/>
      <c r="S142" s="1938"/>
    </row>
    <row r="143" spans="5:19" x14ac:dyDescent="0.2">
      <c r="E143" s="1751"/>
      <c r="F143" s="1751"/>
      <c r="G143" s="1751"/>
      <c r="H143" s="1751"/>
      <c r="I143" s="1751"/>
      <c r="J143" s="1751"/>
      <c r="K143" s="1751"/>
      <c r="L143" s="1751"/>
      <c r="M143" s="1751"/>
      <c r="N143" s="1751"/>
      <c r="O143" s="1751"/>
      <c r="S143" s="1938"/>
    </row>
    <row r="144" spans="5:19" x14ac:dyDescent="0.2">
      <c r="E144" s="1751"/>
      <c r="F144" s="1751"/>
      <c r="G144" s="1751"/>
      <c r="H144" s="1751"/>
      <c r="I144" s="1751"/>
      <c r="J144" s="1751"/>
      <c r="K144" s="1751"/>
      <c r="L144" s="1751"/>
      <c r="M144" s="1751"/>
      <c r="N144" s="1751"/>
      <c r="O144" s="1751"/>
      <c r="S144" s="1938"/>
    </row>
    <row r="145" spans="5:19" x14ac:dyDescent="0.2">
      <c r="E145" s="1751"/>
      <c r="F145" s="1751"/>
      <c r="G145" s="1751"/>
      <c r="H145" s="1751"/>
      <c r="I145" s="1751"/>
      <c r="J145" s="1751"/>
      <c r="K145" s="1751"/>
      <c r="L145" s="1751"/>
      <c r="M145" s="1751"/>
      <c r="N145" s="1751"/>
      <c r="O145" s="1751"/>
      <c r="S145" s="1938"/>
    </row>
    <row r="146" spans="5:19" x14ac:dyDescent="0.2">
      <c r="E146" s="1751"/>
      <c r="F146" s="1751"/>
      <c r="G146" s="1751"/>
      <c r="H146" s="1751"/>
      <c r="I146" s="1751"/>
      <c r="J146" s="1751"/>
      <c r="K146" s="1751"/>
      <c r="L146" s="1751"/>
      <c r="M146" s="1751"/>
      <c r="N146" s="1751"/>
      <c r="O146" s="1751"/>
      <c r="S146" s="1938"/>
    </row>
    <row r="147" spans="5:19" x14ac:dyDescent="0.2">
      <c r="E147" s="1751"/>
      <c r="F147" s="1751"/>
      <c r="G147" s="1751"/>
      <c r="H147" s="1751"/>
      <c r="I147" s="1751"/>
      <c r="J147" s="1751"/>
      <c r="K147" s="1751"/>
      <c r="L147" s="1751"/>
      <c r="M147" s="1751"/>
      <c r="N147" s="1751"/>
      <c r="O147" s="1751"/>
      <c r="S147" s="1938"/>
    </row>
    <row r="148" spans="5:19" x14ac:dyDescent="0.2">
      <c r="E148" s="1751"/>
      <c r="F148" s="1751"/>
      <c r="G148" s="1751"/>
      <c r="H148" s="1751"/>
      <c r="I148" s="1751"/>
      <c r="J148" s="1751"/>
      <c r="K148" s="1751"/>
      <c r="L148" s="1751"/>
      <c r="M148" s="1751"/>
      <c r="N148" s="1751"/>
      <c r="O148" s="1751"/>
      <c r="S148" s="1938"/>
    </row>
    <row r="149" spans="5:19" x14ac:dyDescent="0.2">
      <c r="E149" s="1751"/>
      <c r="F149" s="1751"/>
      <c r="G149" s="1751"/>
      <c r="H149" s="1751"/>
      <c r="I149" s="1751"/>
      <c r="J149" s="1751"/>
      <c r="K149" s="1751"/>
      <c r="L149" s="1751"/>
      <c r="M149" s="1751"/>
      <c r="N149" s="1751"/>
      <c r="O149" s="1751"/>
      <c r="S149" s="1938"/>
    </row>
    <row r="150" spans="5:19" x14ac:dyDescent="0.2">
      <c r="E150" s="1751"/>
      <c r="F150" s="1751"/>
      <c r="G150" s="1751"/>
      <c r="H150" s="1751"/>
      <c r="I150" s="1751"/>
      <c r="J150" s="1751"/>
      <c r="K150" s="1751"/>
      <c r="L150" s="1751"/>
      <c r="M150" s="1751"/>
      <c r="N150" s="1751"/>
      <c r="O150" s="1751"/>
      <c r="S150" s="1938"/>
    </row>
    <row r="151" spans="5:19" x14ac:dyDescent="0.2">
      <c r="E151" s="1751"/>
      <c r="F151" s="1751"/>
      <c r="G151" s="1751"/>
      <c r="H151" s="1751"/>
      <c r="I151" s="1751"/>
      <c r="J151" s="1751"/>
      <c r="K151" s="1751"/>
      <c r="L151" s="1751"/>
      <c r="M151" s="1751"/>
      <c r="N151" s="1751"/>
      <c r="O151" s="1751"/>
      <c r="S151" s="1938"/>
    </row>
    <row r="152" spans="5:19" x14ac:dyDescent="0.2">
      <c r="E152" s="1751"/>
      <c r="F152" s="1751"/>
      <c r="G152" s="1751"/>
      <c r="H152" s="1751"/>
      <c r="I152" s="1751"/>
      <c r="J152" s="1751"/>
      <c r="K152" s="1751"/>
      <c r="L152" s="1751"/>
      <c r="M152" s="1751"/>
      <c r="N152" s="1751"/>
      <c r="O152" s="1751"/>
      <c r="S152" s="1938"/>
    </row>
    <row r="153" spans="5:19" x14ac:dyDescent="0.2">
      <c r="E153" s="1751"/>
      <c r="F153" s="1751"/>
      <c r="G153" s="1751"/>
      <c r="H153" s="1751"/>
      <c r="I153" s="1751"/>
      <c r="J153" s="1751"/>
      <c r="K153" s="1751"/>
      <c r="L153" s="1751"/>
      <c r="M153" s="1751"/>
      <c r="N153" s="1751"/>
      <c r="O153" s="1751"/>
      <c r="S153" s="1938"/>
    </row>
    <row r="154" spans="5:19" x14ac:dyDescent="0.2">
      <c r="E154" s="1751"/>
      <c r="F154" s="1751"/>
      <c r="G154" s="1751"/>
      <c r="H154" s="1751"/>
      <c r="I154" s="1751"/>
      <c r="J154" s="1751"/>
      <c r="K154" s="1751"/>
      <c r="L154" s="1751"/>
      <c r="M154" s="1751"/>
      <c r="N154" s="1751"/>
      <c r="O154" s="1751"/>
      <c r="S154" s="1938"/>
    </row>
    <row r="155" spans="5:19" x14ac:dyDescent="0.2">
      <c r="E155" s="1751"/>
      <c r="F155" s="1751"/>
      <c r="G155" s="1751"/>
      <c r="H155" s="1751"/>
      <c r="I155" s="1751"/>
      <c r="J155" s="1751"/>
      <c r="K155" s="1751"/>
      <c r="L155" s="1751"/>
      <c r="M155" s="1751"/>
      <c r="N155" s="1751"/>
      <c r="O155" s="1751"/>
      <c r="S155" s="1938"/>
    </row>
    <row r="156" spans="5:19" x14ac:dyDescent="0.2">
      <c r="E156" s="1751"/>
      <c r="F156" s="1751"/>
      <c r="G156" s="1751"/>
      <c r="H156" s="1751"/>
      <c r="I156" s="1751"/>
      <c r="J156" s="1751"/>
      <c r="K156" s="1751"/>
      <c r="L156" s="1751"/>
      <c r="M156" s="1751"/>
      <c r="N156" s="1751"/>
      <c r="O156" s="1751"/>
      <c r="S156" s="1938"/>
    </row>
    <row r="157" spans="5:19" x14ac:dyDescent="0.2">
      <c r="E157" s="1751"/>
      <c r="F157" s="1751"/>
      <c r="G157" s="1751"/>
      <c r="H157" s="1751"/>
      <c r="I157" s="1751"/>
      <c r="J157" s="1751"/>
      <c r="K157" s="1751"/>
      <c r="L157" s="1751"/>
      <c r="M157" s="1751"/>
      <c r="N157" s="1751"/>
      <c r="O157" s="1751"/>
      <c r="S157" s="1938"/>
    </row>
    <row r="158" spans="5:19" x14ac:dyDescent="0.2">
      <c r="E158" s="1751"/>
      <c r="F158" s="1751"/>
      <c r="G158" s="1751"/>
      <c r="H158" s="1751"/>
      <c r="I158" s="1751"/>
      <c r="J158" s="1751"/>
      <c r="K158" s="1751"/>
      <c r="L158" s="1751"/>
      <c r="M158" s="1751"/>
      <c r="N158" s="1751"/>
      <c r="O158" s="1751"/>
      <c r="S158" s="1938"/>
    </row>
    <row r="159" spans="5:19" x14ac:dyDescent="0.2">
      <c r="E159" s="1751"/>
      <c r="F159" s="1751"/>
      <c r="G159" s="1751"/>
      <c r="H159" s="1751"/>
      <c r="I159" s="1751"/>
      <c r="J159" s="1751"/>
      <c r="K159" s="1751"/>
      <c r="L159" s="1751"/>
      <c r="M159" s="1751"/>
      <c r="N159" s="1751"/>
      <c r="O159" s="1751"/>
      <c r="S159" s="1938"/>
    </row>
    <row r="160" spans="5:19" x14ac:dyDescent="0.2">
      <c r="E160" s="1751"/>
      <c r="F160" s="1751"/>
      <c r="G160" s="1751"/>
      <c r="H160" s="1751"/>
      <c r="I160" s="1751"/>
      <c r="J160" s="1751"/>
      <c r="K160" s="1751"/>
      <c r="L160" s="1751"/>
      <c r="M160" s="1751"/>
      <c r="N160" s="1751"/>
      <c r="O160" s="1751"/>
      <c r="S160" s="1938"/>
    </row>
    <row r="161" spans="1:19" x14ac:dyDescent="0.2">
      <c r="E161" s="1751"/>
      <c r="F161" s="1751"/>
      <c r="G161" s="1751"/>
      <c r="H161" s="1751"/>
      <c r="I161" s="1751"/>
      <c r="J161" s="1751"/>
      <c r="K161" s="1751"/>
      <c r="L161" s="1751"/>
      <c r="M161" s="1751"/>
      <c r="N161" s="1751"/>
      <c r="O161" s="1751"/>
      <c r="S161" s="1938"/>
    </row>
    <row r="162" spans="1:19" x14ac:dyDescent="0.2">
      <c r="E162" s="1751"/>
      <c r="F162" s="1751"/>
      <c r="G162" s="1751"/>
      <c r="H162" s="1751"/>
      <c r="I162" s="1751"/>
      <c r="J162" s="1751"/>
      <c r="K162" s="1751"/>
      <c r="L162" s="1751"/>
      <c r="M162" s="1751"/>
      <c r="N162" s="1751"/>
      <c r="O162" s="1751"/>
      <c r="S162" s="1938"/>
    </row>
    <row r="163" spans="1:19" ht="12" thickBot="1" x14ac:dyDescent="0.25">
      <c r="E163" s="1751"/>
      <c r="F163" s="1751"/>
      <c r="G163" s="1751"/>
      <c r="H163" s="1751"/>
      <c r="I163" s="1751"/>
      <c r="J163" s="1751"/>
      <c r="K163" s="1751"/>
      <c r="L163" s="1751"/>
      <c r="M163" s="1751"/>
      <c r="N163" s="1751"/>
      <c r="O163" s="1751"/>
      <c r="S163" s="1938"/>
    </row>
    <row r="164" spans="1:19" ht="45" x14ac:dyDescent="0.2">
      <c r="A164" s="1939"/>
      <c r="B164" s="481" t="s">
        <v>30</v>
      </c>
      <c r="C164" s="481"/>
      <c r="D164" s="1940"/>
      <c r="E164" s="1940"/>
      <c r="F164" s="1940"/>
      <c r="G164" s="1940"/>
      <c r="H164" s="1940"/>
      <c r="I164" s="1940"/>
      <c r="J164" s="1940"/>
      <c r="K164" s="1940"/>
      <c r="L164" s="1940"/>
      <c r="M164" s="1940"/>
      <c r="N164" s="1940"/>
      <c r="O164" s="1940"/>
      <c r="P164" s="1940"/>
      <c r="Q164" s="1940"/>
      <c r="R164" s="482"/>
      <c r="S164" s="1941"/>
    </row>
    <row r="165" spans="1:19" x14ac:dyDescent="0.2">
      <c r="A165" s="1942"/>
      <c r="B165" s="1751"/>
      <c r="C165" s="1751"/>
      <c r="D165" s="1751"/>
      <c r="E165" s="1751"/>
      <c r="F165" s="1751"/>
      <c r="G165" s="1751"/>
      <c r="H165" s="1751"/>
      <c r="I165" s="1751"/>
      <c r="J165" s="1751"/>
      <c r="K165" s="1751"/>
      <c r="L165" s="1751"/>
      <c r="M165" s="1751"/>
      <c r="N165" s="1751"/>
      <c r="O165" s="1751"/>
      <c r="S165" s="1943"/>
    </row>
    <row r="166" spans="1:19" x14ac:dyDescent="0.2">
      <c r="A166" s="1942"/>
      <c r="B166" s="1751"/>
      <c r="C166" s="1751"/>
      <c r="D166" s="1751"/>
      <c r="E166" s="1751"/>
      <c r="F166" s="1751"/>
      <c r="G166" s="1751"/>
      <c r="H166" s="1751"/>
      <c r="I166" s="1751"/>
      <c r="J166" s="1751"/>
      <c r="K166" s="1751"/>
      <c r="L166" s="1751"/>
      <c r="M166" s="1751"/>
      <c r="N166" s="1751"/>
      <c r="O166" s="1751"/>
      <c r="S166" s="1943"/>
    </row>
    <row r="167" spans="1:19" x14ac:dyDescent="0.2">
      <c r="A167" s="1942"/>
      <c r="B167" s="1751"/>
      <c r="C167" s="1751"/>
      <c r="D167" s="1751"/>
      <c r="E167" s="1751"/>
      <c r="F167" s="1751"/>
      <c r="G167" s="1751"/>
      <c r="H167" s="1751"/>
      <c r="I167" s="1751"/>
      <c r="J167" s="1751"/>
      <c r="K167" s="1751"/>
      <c r="L167" s="1751"/>
      <c r="M167" s="1751"/>
      <c r="N167" s="1751"/>
      <c r="O167" s="1751"/>
      <c r="S167" s="1943"/>
    </row>
    <row r="168" spans="1:19" x14ac:dyDescent="0.2">
      <c r="A168" s="1942"/>
      <c r="B168" s="1751"/>
      <c r="C168" s="1751"/>
      <c r="D168" s="1751"/>
      <c r="E168" s="1751"/>
      <c r="F168" s="1751"/>
      <c r="G168" s="1751"/>
      <c r="H168" s="1751"/>
      <c r="I168" s="1751"/>
      <c r="J168" s="1751"/>
      <c r="K168" s="1751"/>
      <c r="L168" s="1751"/>
      <c r="M168" s="1751"/>
      <c r="N168" s="1751"/>
      <c r="O168" s="1751"/>
      <c r="S168" s="1943"/>
    </row>
    <row r="169" spans="1:19" x14ac:dyDescent="0.2">
      <c r="A169" s="1942"/>
      <c r="B169" s="1751"/>
      <c r="C169" s="1751"/>
      <c r="D169" s="1751"/>
      <c r="E169" s="1751"/>
      <c r="F169" s="1751"/>
      <c r="G169" s="1751"/>
      <c r="H169" s="1751"/>
      <c r="I169" s="1751"/>
      <c r="J169" s="1751"/>
      <c r="K169" s="1751"/>
      <c r="L169" s="1751"/>
      <c r="M169" s="1751"/>
      <c r="N169" s="1751"/>
      <c r="O169" s="1751"/>
      <c r="S169" s="1943"/>
    </row>
    <row r="170" spans="1:19" x14ac:dyDescent="0.2">
      <c r="A170" s="1942"/>
      <c r="B170" s="1751"/>
      <c r="C170" s="1751"/>
      <c r="D170" s="1751"/>
      <c r="E170" s="1751"/>
      <c r="F170" s="1751"/>
      <c r="G170" s="1751"/>
      <c r="H170" s="1751"/>
      <c r="I170" s="1751"/>
      <c r="J170" s="1751"/>
      <c r="K170" s="1751"/>
      <c r="L170" s="1751"/>
      <c r="M170" s="1751"/>
      <c r="N170" s="1751"/>
      <c r="O170" s="1751"/>
      <c r="S170" s="1943"/>
    </row>
    <row r="171" spans="1:19" x14ac:dyDescent="0.2">
      <c r="A171" s="1942"/>
      <c r="B171" s="1751"/>
      <c r="C171" s="1751"/>
      <c r="D171" s="1751"/>
      <c r="E171" s="1751"/>
      <c r="F171" s="1751"/>
      <c r="G171" s="1751"/>
      <c r="H171" s="1751"/>
      <c r="I171" s="1751"/>
      <c r="J171" s="1751"/>
      <c r="K171" s="1751"/>
      <c r="L171" s="1751"/>
      <c r="M171" s="1751"/>
      <c r="N171" s="1751"/>
      <c r="O171" s="1751"/>
      <c r="S171" s="1943"/>
    </row>
    <row r="172" spans="1:19" x14ac:dyDescent="0.2">
      <c r="A172" s="1942"/>
      <c r="B172" s="1751"/>
      <c r="C172" s="1751"/>
      <c r="D172" s="1751"/>
      <c r="E172" s="1751"/>
      <c r="F172" s="1751"/>
      <c r="G172" s="1751"/>
      <c r="H172" s="1751"/>
      <c r="I172" s="1751"/>
      <c r="J172" s="1751"/>
      <c r="K172" s="1751"/>
      <c r="L172" s="1751"/>
      <c r="M172" s="1751"/>
      <c r="N172" s="1751"/>
      <c r="O172" s="1751"/>
      <c r="S172" s="1943"/>
    </row>
    <row r="173" spans="1:19" x14ac:dyDescent="0.2">
      <c r="A173" s="1942"/>
      <c r="B173" s="1751"/>
      <c r="C173" s="1751"/>
      <c r="D173" s="1751"/>
      <c r="E173" s="1751"/>
      <c r="F173" s="1751"/>
      <c r="G173" s="1751"/>
      <c r="H173" s="1751"/>
      <c r="I173" s="1751"/>
      <c r="J173" s="1751"/>
      <c r="K173" s="1751"/>
      <c r="L173" s="1751"/>
      <c r="M173" s="1751"/>
      <c r="N173" s="1751"/>
      <c r="O173" s="1751"/>
      <c r="S173" s="1943"/>
    </row>
    <row r="174" spans="1:19" x14ac:dyDescent="0.2">
      <c r="A174" s="1942"/>
      <c r="B174" s="1751"/>
      <c r="C174" s="1751"/>
      <c r="D174" s="1751"/>
      <c r="E174" s="1751"/>
      <c r="F174" s="1751"/>
      <c r="G174" s="1751"/>
      <c r="H174" s="1751"/>
      <c r="I174" s="1751"/>
      <c r="J174" s="1751"/>
      <c r="K174" s="1751"/>
      <c r="L174" s="1751"/>
      <c r="M174" s="1751"/>
      <c r="N174" s="1751"/>
      <c r="O174" s="1751"/>
      <c r="S174" s="1943"/>
    </row>
    <row r="175" spans="1:19" ht="12" thickBot="1" x14ac:dyDescent="0.25">
      <c r="A175" s="1944"/>
      <c r="B175" s="1945"/>
      <c r="C175" s="1945"/>
      <c r="D175" s="1945"/>
      <c r="E175" s="1945"/>
      <c r="F175" s="1945"/>
      <c r="G175" s="1945"/>
      <c r="H175" s="1945"/>
      <c r="I175" s="1945"/>
      <c r="J175" s="1945"/>
      <c r="K175" s="1945"/>
      <c r="L175" s="1945"/>
      <c r="M175" s="1945"/>
      <c r="N175" s="1945"/>
      <c r="O175" s="1945"/>
      <c r="P175" s="1945"/>
      <c r="Q175" s="1945"/>
      <c r="R175" s="489"/>
      <c r="S175" s="1946"/>
    </row>
    <row r="176" spans="1:19" x14ac:dyDescent="0.2">
      <c r="E176" s="1751"/>
      <c r="F176" s="1751"/>
      <c r="G176" s="1751"/>
      <c r="H176" s="1751"/>
      <c r="I176" s="1751"/>
      <c r="J176" s="1751"/>
      <c r="K176" s="1751"/>
      <c r="L176" s="1751"/>
      <c r="M176" s="1751"/>
      <c r="N176" s="1751"/>
      <c r="O176" s="1751"/>
      <c r="S176" s="1938"/>
    </row>
    <row r="177" spans="5:19" x14ac:dyDescent="0.2">
      <c r="E177" s="1751"/>
      <c r="F177" s="1751"/>
      <c r="G177" s="1751"/>
      <c r="H177" s="1751"/>
      <c r="I177" s="1751"/>
      <c r="J177" s="1751"/>
      <c r="K177" s="1751"/>
      <c r="L177" s="1751"/>
      <c r="M177" s="1751"/>
      <c r="N177" s="1751"/>
      <c r="O177" s="1751"/>
      <c r="S177" s="1938"/>
    </row>
    <row r="178" spans="5:19" x14ac:dyDescent="0.2">
      <c r="E178" s="1751"/>
      <c r="F178" s="1751"/>
      <c r="G178" s="1751"/>
      <c r="H178" s="1751"/>
      <c r="I178" s="1751"/>
      <c r="J178" s="1751"/>
      <c r="K178" s="1751"/>
      <c r="L178" s="1751"/>
      <c r="M178" s="1751"/>
      <c r="N178" s="1751"/>
      <c r="O178" s="1751"/>
      <c r="S178" s="1938"/>
    </row>
    <row r="179" spans="5:19" x14ac:dyDescent="0.2">
      <c r="E179" s="1751"/>
      <c r="F179" s="1751"/>
      <c r="G179" s="1751"/>
      <c r="H179" s="1751"/>
      <c r="I179" s="1751"/>
      <c r="J179" s="1751"/>
      <c r="K179" s="1751"/>
      <c r="L179" s="1751"/>
      <c r="M179" s="1751"/>
      <c r="N179" s="1751"/>
      <c r="O179" s="1751"/>
      <c r="S179" s="1938"/>
    </row>
    <row r="180" spans="5:19" x14ac:dyDescent="0.2">
      <c r="E180" s="1751"/>
      <c r="F180" s="1751"/>
      <c r="G180" s="1751"/>
      <c r="H180" s="1751"/>
      <c r="I180" s="1751"/>
      <c r="J180" s="1751"/>
      <c r="K180" s="1751"/>
      <c r="L180" s="1751"/>
      <c r="M180" s="1751"/>
      <c r="N180" s="1751"/>
      <c r="O180" s="1751"/>
      <c r="S180" s="1938"/>
    </row>
    <row r="181" spans="5:19" x14ac:dyDescent="0.2">
      <c r="E181" s="1751"/>
      <c r="F181" s="1751"/>
      <c r="G181" s="1751"/>
      <c r="H181" s="1751"/>
      <c r="I181" s="1751"/>
      <c r="J181" s="1751"/>
      <c r="K181" s="1751"/>
      <c r="L181" s="1751"/>
      <c r="M181" s="1751"/>
      <c r="N181" s="1751"/>
      <c r="O181" s="1751"/>
      <c r="S181" s="1938"/>
    </row>
    <row r="182" spans="5:19" x14ac:dyDescent="0.2">
      <c r="E182" s="1751"/>
      <c r="F182" s="1751"/>
      <c r="G182" s="1751"/>
      <c r="H182" s="1751"/>
      <c r="I182" s="1751"/>
      <c r="J182" s="1751"/>
      <c r="K182" s="1751"/>
      <c r="L182" s="1751"/>
      <c r="M182" s="1751"/>
      <c r="N182" s="1751"/>
      <c r="O182" s="1751"/>
      <c r="S182" s="1938"/>
    </row>
    <row r="183" spans="5:19" x14ac:dyDescent="0.2">
      <c r="E183" s="1751"/>
      <c r="F183" s="1751"/>
      <c r="G183" s="1751"/>
      <c r="H183" s="1751"/>
      <c r="I183" s="1751"/>
      <c r="J183" s="1751"/>
      <c r="K183" s="1751"/>
      <c r="L183" s="1751"/>
      <c r="M183" s="1751"/>
      <c r="N183" s="1751"/>
      <c r="O183" s="1751"/>
      <c r="S183" s="1938"/>
    </row>
    <row r="184" spans="5:19" x14ac:dyDescent="0.2">
      <c r="E184" s="1751"/>
      <c r="F184" s="1751"/>
      <c r="G184" s="1751"/>
      <c r="H184" s="1751"/>
      <c r="I184" s="1751"/>
      <c r="J184" s="1751"/>
      <c r="K184" s="1751"/>
      <c r="L184" s="1751"/>
      <c r="M184" s="1751"/>
      <c r="N184" s="1751"/>
      <c r="O184" s="1751"/>
      <c r="S184" s="1938"/>
    </row>
    <row r="185" spans="5:19" x14ac:dyDescent="0.2">
      <c r="E185" s="1751"/>
      <c r="F185" s="1751"/>
      <c r="G185" s="1751"/>
      <c r="H185" s="1751"/>
      <c r="I185" s="1751"/>
      <c r="J185" s="1751"/>
      <c r="K185" s="1751"/>
      <c r="L185" s="1751"/>
      <c r="M185" s="1751"/>
      <c r="N185" s="1751"/>
      <c r="O185" s="1751"/>
      <c r="S185" s="1938"/>
    </row>
    <row r="186" spans="5:19" x14ac:dyDescent="0.2">
      <c r="E186" s="1751"/>
      <c r="F186" s="1751"/>
      <c r="G186" s="1751"/>
      <c r="H186" s="1751"/>
      <c r="I186" s="1751"/>
      <c r="J186" s="1751"/>
      <c r="K186" s="1751"/>
      <c r="L186" s="1751"/>
      <c r="M186" s="1751"/>
      <c r="N186" s="1751"/>
      <c r="O186" s="1751"/>
      <c r="S186" s="1938"/>
    </row>
    <row r="187" spans="5:19" x14ac:dyDescent="0.2">
      <c r="E187" s="1751"/>
      <c r="F187" s="1751"/>
      <c r="G187" s="1751"/>
      <c r="H187" s="1751"/>
      <c r="I187" s="1751"/>
      <c r="J187" s="1751"/>
      <c r="K187" s="1751"/>
      <c r="L187" s="1751"/>
      <c r="M187" s="1751"/>
      <c r="N187" s="1751"/>
      <c r="O187" s="1751"/>
      <c r="S187" s="1938"/>
    </row>
    <row r="188" spans="5:19" x14ac:dyDescent="0.2">
      <c r="E188" s="1751"/>
      <c r="F188" s="1751"/>
      <c r="G188" s="1751"/>
      <c r="H188" s="1751"/>
      <c r="I188" s="1751"/>
      <c r="J188" s="1751"/>
      <c r="K188" s="1751"/>
      <c r="L188" s="1751"/>
      <c r="M188" s="1751"/>
      <c r="N188" s="1751"/>
      <c r="O188" s="1751"/>
      <c r="S188" s="1938"/>
    </row>
    <row r="189" spans="5:19" x14ac:dyDescent="0.2">
      <c r="E189" s="1751"/>
      <c r="F189" s="1751"/>
      <c r="G189" s="1751"/>
      <c r="H189" s="1751"/>
      <c r="I189" s="1751"/>
      <c r="J189" s="1751"/>
      <c r="K189" s="1751"/>
      <c r="L189" s="1751"/>
      <c r="M189" s="1751"/>
      <c r="N189" s="1751"/>
      <c r="O189" s="1751"/>
      <c r="S189" s="1938"/>
    </row>
    <row r="190" spans="5:19" x14ac:dyDescent="0.2">
      <c r="E190" s="1751"/>
      <c r="F190" s="1751"/>
      <c r="G190" s="1751"/>
      <c r="H190" s="1751"/>
      <c r="I190" s="1751"/>
      <c r="J190" s="1751"/>
      <c r="K190" s="1751"/>
      <c r="L190" s="1751"/>
      <c r="M190" s="1751"/>
      <c r="N190" s="1751"/>
      <c r="O190" s="1751"/>
      <c r="S190" s="1938"/>
    </row>
    <row r="191" spans="5:19" x14ac:dyDescent="0.2">
      <c r="E191" s="1751"/>
      <c r="F191" s="1751"/>
      <c r="G191" s="1751"/>
      <c r="H191" s="1751"/>
      <c r="I191" s="1751"/>
      <c r="J191" s="1751"/>
      <c r="K191" s="1751"/>
      <c r="L191" s="1751"/>
      <c r="M191" s="1751"/>
      <c r="N191" s="1751"/>
      <c r="O191" s="1751"/>
      <c r="S191" s="1938"/>
    </row>
    <row r="192" spans="5:19" x14ac:dyDescent="0.2">
      <c r="E192" s="1751"/>
      <c r="F192" s="1751"/>
      <c r="G192" s="1751"/>
      <c r="H192" s="1751"/>
      <c r="I192" s="1751"/>
      <c r="J192" s="1751"/>
      <c r="K192" s="1751"/>
      <c r="L192" s="1751"/>
      <c r="M192" s="1751"/>
      <c r="N192" s="1751"/>
      <c r="O192" s="1751"/>
      <c r="S192" s="1938"/>
    </row>
    <row r="193" spans="5:19" x14ac:dyDescent="0.2">
      <c r="E193" s="1751"/>
      <c r="F193" s="1751"/>
      <c r="G193" s="1751"/>
      <c r="H193" s="1751"/>
      <c r="I193" s="1751"/>
      <c r="J193" s="1751"/>
      <c r="K193" s="1751"/>
      <c r="L193" s="1751"/>
      <c r="M193" s="1751"/>
      <c r="N193" s="1751"/>
      <c r="O193" s="1751"/>
      <c r="S193" s="1938"/>
    </row>
    <row r="194" spans="5:19" x14ac:dyDescent="0.2">
      <c r="E194" s="1751"/>
      <c r="F194" s="1751"/>
      <c r="G194" s="1751"/>
      <c r="H194" s="1751"/>
      <c r="I194" s="1751"/>
      <c r="J194" s="1751"/>
      <c r="K194" s="1751"/>
      <c r="L194" s="1751"/>
      <c r="M194" s="1751"/>
      <c r="N194" s="1751"/>
      <c r="O194" s="1751"/>
      <c r="S194" s="1938"/>
    </row>
    <row r="195" spans="5:19" x14ac:dyDescent="0.2">
      <c r="E195" s="1751"/>
      <c r="F195" s="1751"/>
      <c r="G195" s="1751"/>
      <c r="H195" s="1751"/>
      <c r="I195" s="1751"/>
      <c r="J195" s="1751"/>
      <c r="K195" s="1751"/>
      <c r="L195" s="1751"/>
      <c r="M195" s="1751"/>
      <c r="N195" s="1751"/>
      <c r="O195" s="1751"/>
      <c r="S195" s="1938"/>
    </row>
    <row r="196" spans="5:19" x14ac:dyDescent="0.2">
      <c r="E196" s="1751"/>
      <c r="F196" s="1751"/>
      <c r="G196" s="1751"/>
      <c r="H196" s="1751"/>
      <c r="I196" s="1751"/>
      <c r="J196" s="1751"/>
      <c r="K196" s="1751"/>
      <c r="L196" s="1751"/>
      <c r="M196" s="1751"/>
      <c r="N196" s="1751"/>
      <c r="O196" s="1751"/>
      <c r="S196" s="1938"/>
    </row>
    <row r="197" spans="5:19" x14ac:dyDescent="0.2">
      <c r="E197" s="1751"/>
      <c r="F197" s="1751"/>
      <c r="G197" s="1751"/>
      <c r="H197" s="1751"/>
      <c r="I197" s="1751"/>
      <c r="J197" s="1751"/>
      <c r="K197" s="1751"/>
      <c r="L197" s="1751"/>
      <c r="M197" s="1751"/>
      <c r="N197" s="1751"/>
      <c r="O197" s="1751"/>
      <c r="S197" s="1938"/>
    </row>
    <row r="198" spans="5:19" x14ac:dyDescent="0.2">
      <c r="E198" s="1751"/>
      <c r="F198" s="1751"/>
      <c r="G198" s="1751"/>
      <c r="H198" s="1751"/>
      <c r="I198" s="1751"/>
      <c r="J198" s="1751"/>
      <c r="K198" s="1751"/>
      <c r="L198" s="1751"/>
      <c r="M198" s="1751"/>
      <c r="N198" s="1751"/>
      <c r="O198" s="1751"/>
      <c r="S198" s="1938"/>
    </row>
    <row r="199" spans="5:19" x14ac:dyDescent="0.2">
      <c r="E199" s="1751"/>
      <c r="F199" s="1751"/>
      <c r="G199" s="1751"/>
      <c r="H199" s="1751"/>
      <c r="I199" s="1751"/>
      <c r="J199" s="1751"/>
      <c r="K199" s="1751"/>
      <c r="L199" s="1751"/>
      <c r="M199" s="1751"/>
      <c r="N199" s="1751"/>
      <c r="O199" s="1751"/>
      <c r="S199" s="1938"/>
    </row>
    <row r="200" spans="5:19" x14ac:dyDescent="0.2">
      <c r="E200" s="1751"/>
      <c r="F200" s="1751"/>
      <c r="G200" s="1751"/>
      <c r="H200" s="1751"/>
      <c r="I200" s="1751"/>
      <c r="J200" s="1751"/>
      <c r="K200" s="1751"/>
      <c r="L200" s="1751"/>
      <c r="M200" s="1751"/>
      <c r="N200" s="1751"/>
      <c r="O200" s="1751"/>
      <c r="S200" s="1938"/>
    </row>
    <row r="201" spans="5:19" x14ac:dyDescent="0.2">
      <c r="E201" s="1751"/>
      <c r="F201" s="1751"/>
      <c r="G201" s="1751"/>
      <c r="H201" s="1751"/>
      <c r="I201" s="1751"/>
      <c r="J201" s="1751"/>
      <c r="K201" s="1751"/>
      <c r="L201" s="1751"/>
      <c r="M201" s="1751"/>
      <c r="N201" s="1751"/>
      <c r="O201" s="1751"/>
      <c r="S201" s="1938"/>
    </row>
    <row r="202" spans="5:19" x14ac:dyDescent="0.2">
      <c r="E202" s="1751"/>
      <c r="F202" s="1751"/>
      <c r="G202" s="1751"/>
      <c r="H202" s="1751"/>
      <c r="I202" s="1751"/>
      <c r="J202" s="1751"/>
      <c r="K202" s="1751"/>
      <c r="L202" s="1751"/>
      <c r="M202" s="1751"/>
      <c r="N202" s="1751"/>
      <c r="O202" s="1751"/>
      <c r="S202" s="1938"/>
    </row>
    <row r="203" spans="5:19" x14ac:dyDescent="0.2">
      <c r="E203" s="1751"/>
      <c r="F203" s="1751"/>
      <c r="G203" s="1751"/>
      <c r="H203" s="1751"/>
      <c r="I203" s="1751"/>
      <c r="J203" s="1751"/>
      <c r="K203" s="1751"/>
      <c r="L203" s="1751"/>
      <c r="M203" s="1751"/>
      <c r="N203" s="1751"/>
      <c r="O203" s="1751"/>
      <c r="S203" s="1938"/>
    </row>
    <row r="204" spans="5:19" x14ac:dyDescent="0.2">
      <c r="E204" s="1751"/>
      <c r="F204" s="1751"/>
      <c r="G204" s="1751"/>
      <c r="H204" s="1751"/>
      <c r="I204" s="1751"/>
      <c r="J204" s="1751"/>
      <c r="K204" s="1751"/>
      <c r="L204" s="1751"/>
      <c r="M204" s="1751"/>
      <c r="N204" s="1751"/>
      <c r="O204" s="1751"/>
      <c r="S204" s="1938"/>
    </row>
    <row r="205" spans="5:19" x14ac:dyDescent="0.2">
      <c r="E205" s="1751"/>
      <c r="F205" s="1751"/>
      <c r="G205" s="1751"/>
      <c r="H205" s="1751"/>
      <c r="I205" s="1751"/>
      <c r="J205" s="1751"/>
      <c r="K205" s="1751"/>
      <c r="L205" s="1751"/>
      <c r="M205" s="1751"/>
      <c r="N205" s="1751"/>
      <c r="O205" s="1751"/>
      <c r="S205" s="1938"/>
    </row>
    <row r="206" spans="5:19" x14ac:dyDescent="0.2">
      <c r="E206" s="1751"/>
      <c r="F206" s="1751"/>
      <c r="G206" s="1751"/>
      <c r="H206" s="1751"/>
      <c r="I206" s="1751"/>
      <c r="J206" s="1751"/>
      <c r="K206" s="1751"/>
      <c r="L206" s="1751"/>
      <c r="M206" s="1751"/>
      <c r="N206" s="1751"/>
      <c r="O206" s="1751"/>
      <c r="S206" s="1938"/>
    </row>
    <row r="207" spans="5:19" x14ac:dyDescent="0.2">
      <c r="E207" s="1751"/>
      <c r="F207" s="1751"/>
      <c r="G207" s="1751"/>
      <c r="H207" s="1751"/>
      <c r="I207" s="1751"/>
      <c r="J207" s="1751"/>
      <c r="K207" s="1751"/>
      <c r="L207" s="1751"/>
      <c r="M207" s="1751"/>
      <c r="N207" s="1751"/>
      <c r="O207" s="1751"/>
      <c r="S207" s="1938"/>
    </row>
    <row r="208" spans="5:19" x14ac:dyDescent="0.2">
      <c r="E208" s="1751"/>
      <c r="F208" s="1751"/>
      <c r="G208" s="1751"/>
      <c r="H208" s="1751"/>
      <c r="I208" s="1751"/>
      <c r="J208" s="1751"/>
      <c r="K208" s="1751"/>
      <c r="L208" s="1751"/>
      <c r="M208" s="1751"/>
      <c r="N208" s="1751"/>
      <c r="O208" s="1751"/>
      <c r="S208" s="1938"/>
    </row>
    <row r="209" spans="5:19" x14ac:dyDescent="0.2">
      <c r="E209" s="1751"/>
      <c r="F209" s="1751"/>
      <c r="G209" s="1751"/>
      <c r="H209" s="1751"/>
      <c r="I209" s="1751"/>
      <c r="J209" s="1751"/>
      <c r="K209" s="1751"/>
      <c r="L209" s="1751"/>
      <c r="M209" s="1751"/>
      <c r="N209" s="1751"/>
      <c r="O209" s="1751"/>
      <c r="S209" s="1938"/>
    </row>
    <row r="210" spans="5:19" x14ac:dyDescent="0.2">
      <c r="E210" s="1751"/>
      <c r="F210" s="1751"/>
      <c r="G210" s="1751"/>
      <c r="H210" s="1751"/>
      <c r="I210" s="1751"/>
      <c r="J210" s="1751"/>
      <c r="K210" s="1751"/>
      <c r="L210" s="1751"/>
      <c r="M210" s="1751"/>
      <c r="N210" s="1751"/>
      <c r="O210" s="1751"/>
      <c r="S210" s="1938"/>
    </row>
    <row r="211" spans="5:19" x14ac:dyDescent="0.2">
      <c r="E211" s="1751"/>
      <c r="F211" s="1751"/>
      <c r="G211" s="1751"/>
      <c r="H211" s="1751"/>
      <c r="I211" s="1751"/>
      <c r="J211" s="1751"/>
      <c r="K211" s="1751"/>
      <c r="L211" s="1751"/>
      <c r="M211" s="1751"/>
      <c r="N211" s="1751"/>
      <c r="O211" s="1751"/>
      <c r="S211" s="1938"/>
    </row>
    <row r="212" spans="5:19" x14ac:dyDescent="0.2">
      <c r="E212" s="1751"/>
      <c r="F212" s="1751"/>
      <c r="G212" s="1751"/>
      <c r="H212" s="1751"/>
      <c r="I212" s="1751"/>
      <c r="J212" s="1751"/>
      <c r="K212" s="1751"/>
      <c r="L212" s="1751"/>
      <c r="M212" s="1751"/>
      <c r="N212" s="1751"/>
      <c r="O212" s="1751"/>
      <c r="S212" s="1938"/>
    </row>
    <row r="213" spans="5:19" x14ac:dyDescent="0.2">
      <c r="E213" s="1751"/>
      <c r="F213" s="1751"/>
      <c r="G213" s="1751"/>
      <c r="H213" s="1751"/>
      <c r="I213" s="1751"/>
      <c r="J213" s="1751"/>
      <c r="K213" s="1751"/>
      <c r="L213" s="1751"/>
      <c r="M213" s="1751"/>
      <c r="N213" s="1751"/>
      <c r="O213" s="1751"/>
      <c r="S213" s="1938"/>
    </row>
    <row r="214" spans="5:19" x14ac:dyDescent="0.2">
      <c r="E214" s="1751"/>
      <c r="F214" s="1751"/>
      <c r="G214" s="1751"/>
      <c r="H214" s="1751"/>
      <c r="I214" s="1751"/>
      <c r="J214" s="1751"/>
      <c r="K214" s="1751"/>
      <c r="L214" s="1751"/>
      <c r="M214" s="1751"/>
      <c r="N214" s="1751"/>
      <c r="O214" s="1751"/>
      <c r="S214" s="1938"/>
    </row>
    <row r="215" spans="5:19" x14ac:dyDescent="0.2">
      <c r="E215" s="1751"/>
      <c r="F215" s="1751"/>
      <c r="G215" s="1751"/>
      <c r="H215" s="1751"/>
      <c r="I215" s="1751"/>
      <c r="J215" s="1751"/>
      <c r="K215" s="1751"/>
      <c r="L215" s="1751"/>
      <c r="M215" s="1751"/>
      <c r="N215" s="1751"/>
      <c r="O215" s="1751"/>
      <c r="S215" s="1938"/>
    </row>
    <row r="216" spans="5:19" x14ac:dyDescent="0.2">
      <c r="E216" s="1751"/>
      <c r="F216" s="1751"/>
      <c r="G216" s="1751"/>
      <c r="H216" s="1751"/>
      <c r="I216" s="1751"/>
      <c r="J216" s="1751"/>
      <c r="K216" s="1751"/>
      <c r="L216" s="1751"/>
      <c r="M216" s="1751"/>
      <c r="N216" s="1751"/>
      <c r="O216" s="1751"/>
      <c r="S216" s="1938"/>
    </row>
    <row r="217" spans="5:19" x14ac:dyDescent="0.2">
      <c r="E217" s="1751"/>
      <c r="F217" s="1751"/>
      <c r="G217" s="1751"/>
      <c r="H217" s="1751"/>
      <c r="I217" s="1751"/>
      <c r="J217" s="1751"/>
      <c r="K217" s="1751"/>
      <c r="L217" s="1751"/>
      <c r="M217" s="1751"/>
      <c r="N217" s="1751"/>
      <c r="O217" s="1751"/>
      <c r="S217" s="1938"/>
    </row>
    <row r="218" spans="5:19" x14ac:dyDescent="0.2">
      <c r="E218" s="1751"/>
      <c r="F218" s="1751"/>
      <c r="G218" s="1751"/>
      <c r="H218" s="1751"/>
      <c r="I218" s="1751"/>
      <c r="J218" s="1751"/>
      <c r="K218" s="1751"/>
      <c r="L218" s="1751"/>
      <c r="M218" s="1751"/>
      <c r="N218" s="1751"/>
      <c r="O218" s="1751"/>
      <c r="S218" s="1938"/>
    </row>
    <row r="219" spans="5:19" x14ac:dyDescent="0.2">
      <c r="E219" s="1751"/>
      <c r="F219" s="1751"/>
      <c r="G219" s="1751"/>
      <c r="H219" s="1751"/>
      <c r="I219" s="1751"/>
      <c r="J219" s="1751"/>
      <c r="K219" s="1751"/>
      <c r="L219" s="1751"/>
      <c r="M219" s="1751"/>
      <c r="N219" s="1751"/>
      <c r="O219" s="1751"/>
      <c r="S219" s="1938"/>
    </row>
    <row r="220" spans="5:19" x14ac:dyDescent="0.2">
      <c r="E220" s="1751"/>
      <c r="F220" s="1751"/>
      <c r="G220" s="1751"/>
      <c r="H220" s="1751"/>
      <c r="I220" s="1751"/>
      <c r="J220" s="1751"/>
      <c r="K220" s="1751"/>
      <c r="L220" s="1751"/>
      <c r="M220" s="1751"/>
      <c r="N220" s="1751"/>
      <c r="O220" s="1751"/>
      <c r="S220" s="1938"/>
    </row>
    <row r="221" spans="5:19" x14ac:dyDescent="0.2">
      <c r="E221" s="1751"/>
      <c r="F221" s="1751"/>
      <c r="G221" s="1751"/>
      <c r="H221" s="1751"/>
      <c r="I221" s="1751"/>
      <c r="J221" s="1751"/>
      <c r="K221" s="1751"/>
      <c r="L221" s="1751"/>
      <c r="M221" s="1751"/>
      <c r="N221" s="1751"/>
      <c r="O221" s="1751"/>
      <c r="S221" s="1938"/>
    </row>
    <row r="222" spans="5:19" x14ac:dyDescent="0.2">
      <c r="E222" s="1751"/>
      <c r="F222" s="1751"/>
      <c r="G222" s="1751"/>
      <c r="H222" s="1751"/>
      <c r="I222" s="1751"/>
      <c r="J222" s="1751"/>
      <c r="K222" s="1751"/>
      <c r="L222" s="1751"/>
      <c r="M222" s="1751"/>
      <c r="N222" s="1751"/>
      <c r="O222" s="1751"/>
      <c r="S222" s="1938"/>
    </row>
    <row r="223" spans="5:19" x14ac:dyDescent="0.2">
      <c r="E223" s="1751"/>
      <c r="F223" s="1751"/>
      <c r="G223" s="1751"/>
      <c r="H223" s="1751"/>
      <c r="I223" s="1751"/>
      <c r="J223" s="1751"/>
      <c r="K223" s="1751"/>
      <c r="L223" s="1751"/>
      <c r="M223" s="1751"/>
      <c r="N223" s="1751"/>
      <c r="O223" s="1751"/>
      <c r="S223" s="1938"/>
    </row>
    <row r="224" spans="5:19" x14ac:dyDescent="0.2">
      <c r="E224" s="1751"/>
      <c r="F224" s="1751"/>
      <c r="G224" s="1751"/>
      <c r="H224" s="1751"/>
      <c r="I224" s="1751"/>
      <c r="J224" s="1751"/>
      <c r="K224" s="1751"/>
      <c r="L224" s="1751"/>
      <c r="M224" s="1751"/>
      <c r="N224" s="1751"/>
      <c r="O224" s="1751"/>
      <c r="S224" s="1938"/>
    </row>
    <row r="225" spans="5:19" x14ac:dyDescent="0.2">
      <c r="E225" s="1751"/>
      <c r="F225" s="1751"/>
      <c r="G225" s="1751"/>
      <c r="H225" s="1751"/>
      <c r="I225" s="1751"/>
      <c r="J225" s="1751"/>
      <c r="K225" s="1751"/>
      <c r="L225" s="1751"/>
      <c r="M225" s="1751"/>
      <c r="N225" s="1751"/>
      <c r="O225" s="1751"/>
      <c r="S225" s="1938"/>
    </row>
    <row r="226" spans="5:19" x14ac:dyDescent="0.2">
      <c r="E226" s="1751"/>
      <c r="F226" s="1751"/>
      <c r="G226" s="1751"/>
      <c r="H226" s="1751"/>
      <c r="I226" s="1751"/>
      <c r="J226" s="1751"/>
      <c r="K226" s="1751"/>
      <c r="L226" s="1751"/>
      <c r="M226" s="1751"/>
      <c r="N226" s="1751"/>
      <c r="O226" s="1751"/>
      <c r="S226" s="1938"/>
    </row>
    <row r="227" spans="5:19" x14ac:dyDescent="0.2">
      <c r="E227" s="1751"/>
      <c r="F227" s="1751"/>
      <c r="G227" s="1751"/>
      <c r="H227" s="1751"/>
      <c r="I227" s="1751"/>
      <c r="J227" s="1751"/>
      <c r="K227" s="1751"/>
      <c r="L227" s="1751"/>
      <c r="M227" s="1751"/>
      <c r="N227" s="1751"/>
      <c r="O227" s="1751"/>
      <c r="S227" s="1938"/>
    </row>
    <row r="228" spans="5:19" x14ac:dyDescent="0.2">
      <c r="E228" s="1751"/>
      <c r="F228" s="1751"/>
      <c r="G228" s="1751"/>
      <c r="H228" s="1751"/>
      <c r="I228" s="1751"/>
      <c r="J228" s="1751"/>
      <c r="K228" s="1751"/>
      <c r="L228" s="1751"/>
      <c r="M228" s="1751"/>
      <c r="N228" s="1751"/>
      <c r="O228" s="1751"/>
      <c r="S228" s="1938"/>
    </row>
    <row r="229" spans="5:19" x14ac:dyDescent="0.2">
      <c r="E229" s="1751"/>
      <c r="F229" s="1751"/>
      <c r="G229" s="1751"/>
      <c r="H229" s="1751"/>
      <c r="I229" s="1751"/>
      <c r="J229" s="1751"/>
      <c r="K229" s="1751"/>
      <c r="L229" s="1751"/>
      <c r="M229" s="1751"/>
      <c r="N229" s="1751"/>
      <c r="O229" s="1751"/>
      <c r="S229" s="1938"/>
    </row>
    <row r="230" spans="5:19" x14ac:dyDescent="0.2">
      <c r="E230" s="1751"/>
      <c r="F230" s="1751"/>
      <c r="G230" s="1751"/>
      <c r="H230" s="1751"/>
      <c r="I230" s="1751"/>
      <c r="J230" s="1751"/>
      <c r="K230" s="1751"/>
      <c r="L230" s="1751"/>
      <c r="M230" s="1751"/>
      <c r="N230" s="1751"/>
      <c r="O230" s="1751"/>
      <c r="S230" s="1938"/>
    </row>
    <row r="231" spans="5:19" x14ac:dyDescent="0.2">
      <c r="E231" s="1751"/>
      <c r="F231" s="1751"/>
      <c r="G231" s="1751"/>
      <c r="H231" s="1751"/>
      <c r="I231" s="1751"/>
      <c r="J231" s="1751"/>
      <c r="K231" s="1751"/>
      <c r="L231" s="1751"/>
      <c r="M231" s="1751"/>
      <c r="N231" s="1751"/>
      <c r="O231" s="1751"/>
      <c r="S231" s="1938"/>
    </row>
    <row r="232" spans="5:19" x14ac:dyDescent="0.2">
      <c r="E232" s="1751"/>
      <c r="F232" s="1751"/>
      <c r="G232" s="1751"/>
      <c r="H232" s="1751"/>
      <c r="I232" s="1751"/>
      <c r="J232" s="1751"/>
      <c r="K232" s="1751"/>
      <c r="L232" s="1751"/>
      <c r="M232" s="1751"/>
      <c r="N232" s="1751"/>
      <c r="O232" s="1751"/>
      <c r="S232" s="1938"/>
    </row>
    <row r="233" spans="5:19" x14ac:dyDescent="0.2">
      <c r="E233" s="1751"/>
      <c r="F233" s="1751"/>
      <c r="G233" s="1751"/>
      <c r="H233" s="1751"/>
      <c r="I233" s="1751"/>
      <c r="J233" s="1751"/>
      <c r="K233" s="1751"/>
      <c r="L233" s="1751"/>
      <c r="M233" s="1751"/>
      <c r="N233" s="1751"/>
      <c r="O233" s="1751"/>
      <c r="S233" s="1938"/>
    </row>
    <row r="234" spans="5:19" x14ac:dyDescent="0.2">
      <c r="E234" s="1751"/>
      <c r="F234" s="1751"/>
      <c r="G234" s="1751"/>
      <c r="H234" s="1751"/>
      <c r="I234" s="1751"/>
      <c r="J234" s="1751"/>
      <c r="K234" s="1751"/>
      <c r="L234" s="1751"/>
      <c r="M234" s="1751"/>
      <c r="N234" s="1751"/>
      <c r="O234" s="1751"/>
      <c r="S234" s="1938"/>
    </row>
    <row r="235" spans="5:19" x14ac:dyDescent="0.2">
      <c r="E235" s="1751"/>
      <c r="F235" s="1751"/>
      <c r="G235" s="1751"/>
      <c r="H235" s="1751"/>
      <c r="I235" s="1751"/>
      <c r="J235" s="1751"/>
      <c r="K235" s="1751"/>
      <c r="L235" s="1751"/>
      <c r="M235" s="1751"/>
      <c r="N235" s="1751"/>
      <c r="O235" s="1751"/>
      <c r="S235" s="1938"/>
    </row>
    <row r="236" spans="5:19" x14ac:dyDescent="0.2">
      <c r="E236" s="1751"/>
      <c r="F236" s="1751"/>
      <c r="G236" s="1751"/>
      <c r="H236" s="1751"/>
      <c r="I236" s="1751"/>
      <c r="J236" s="1751"/>
      <c r="K236" s="1751"/>
      <c r="L236" s="1751"/>
      <c r="M236" s="1751"/>
      <c r="N236" s="1751"/>
      <c r="O236" s="1751"/>
      <c r="S236" s="1938"/>
    </row>
    <row r="237" spans="5:19" x14ac:dyDescent="0.2">
      <c r="E237" s="1751"/>
      <c r="F237" s="1751"/>
      <c r="G237" s="1751"/>
      <c r="H237" s="1751"/>
      <c r="I237" s="1751"/>
      <c r="J237" s="1751"/>
      <c r="K237" s="1751"/>
      <c r="L237" s="1751"/>
      <c r="M237" s="1751"/>
      <c r="N237" s="1751"/>
      <c r="O237" s="1751"/>
      <c r="S237" s="1938"/>
    </row>
    <row r="238" spans="5:19" x14ac:dyDescent="0.2">
      <c r="E238" s="1751"/>
      <c r="F238" s="1751"/>
      <c r="G238" s="1751"/>
      <c r="H238" s="1751"/>
      <c r="I238" s="1751"/>
      <c r="J238" s="1751"/>
      <c r="K238" s="1751"/>
      <c r="L238" s="1751"/>
      <c r="M238" s="1751"/>
      <c r="N238" s="1751"/>
      <c r="O238" s="1751"/>
      <c r="S238" s="1938"/>
    </row>
    <row r="239" spans="5:19" x14ac:dyDescent="0.2">
      <c r="E239" s="1751"/>
      <c r="F239" s="1751"/>
      <c r="G239" s="1751"/>
      <c r="H239" s="1751"/>
      <c r="I239" s="1751"/>
      <c r="J239" s="1751"/>
      <c r="K239" s="1751"/>
      <c r="L239" s="1751"/>
      <c r="M239" s="1751"/>
      <c r="N239" s="1751"/>
      <c r="O239" s="1751"/>
      <c r="S239" s="1938"/>
    </row>
    <row r="240" spans="5:19" x14ac:dyDescent="0.2">
      <c r="E240" s="1751"/>
      <c r="F240" s="1751"/>
      <c r="G240" s="1751"/>
      <c r="H240" s="1751"/>
      <c r="I240" s="1751"/>
      <c r="J240" s="1751"/>
      <c r="K240" s="1751"/>
      <c r="L240" s="1751"/>
      <c r="M240" s="1751"/>
      <c r="N240" s="1751"/>
      <c r="O240" s="1751"/>
      <c r="S240" s="1938"/>
    </row>
    <row r="241" spans="5:19" x14ac:dyDescent="0.2">
      <c r="E241" s="1751"/>
      <c r="F241" s="1751"/>
      <c r="G241" s="1751"/>
      <c r="H241" s="1751"/>
      <c r="I241" s="1751"/>
      <c r="J241" s="1751"/>
      <c r="K241" s="1751"/>
      <c r="L241" s="1751"/>
      <c r="M241" s="1751"/>
      <c r="N241" s="1751"/>
      <c r="O241" s="1751"/>
      <c r="S241" s="1938"/>
    </row>
    <row r="242" spans="5:19" x14ac:dyDescent="0.2">
      <c r="E242" s="1751"/>
      <c r="F242" s="1751"/>
      <c r="G242" s="1751"/>
      <c r="H242" s="1751"/>
      <c r="I242" s="1751"/>
      <c r="J242" s="1751"/>
      <c r="K242" s="1751"/>
      <c r="L242" s="1751"/>
      <c r="M242" s="1751"/>
      <c r="N242" s="1751"/>
      <c r="O242" s="1751"/>
      <c r="S242" s="1938"/>
    </row>
    <row r="243" spans="5:19" x14ac:dyDescent="0.2">
      <c r="E243" s="1751"/>
      <c r="F243" s="1751"/>
      <c r="G243" s="1751"/>
      <c r="H243" s="1751"/>
      <c r="I243" s="1751"/>
      <c r="J243" s="1751"/>
      <c r="K243" s="1751"/>
      <c r="L243" s="1751"/>
      <c r="M243" s="1751"/>
      <c r="N243" s="1751"/>
      <c r="O243" s="1751"/>
      <c r="S243" s="1938"/>
    </row>
    <row r="244" spans="5:19" x14ac:dyDescent="0.2">
      <c r="E244" s="1751"/>
      <c r="F244" s="1751"/>
      <c r="G244" s="1751"/>
      <c r="H244" s="1751"/>
      <c r="I244" s="1751"/>
      <c r="J244" s="1751"/>
      <c r="K244" s="1751"/>
      <c r="L244" s="1751"/>
      <c r="M244" s="1751"/>
      <c r="N244" s="1751"/>
      <c r="O244" s="1751"/>
      <c r="S244" s="1938"/>
    </row>
    <row r="245" spans="5:19" x14ac:dyDescent="0.2">
      <c r="E245" s="1751"/>
      <c r="F245" s="1751"/>
      <c r="G245" s="1751"/>
      <c r="H245" s="1751"/>
      <c r="I245" s="1751"/>
      <c r="J245" s="1751"/>
      <c r="K245" s="1751"/>
      <c r="L245" s="1751"/>
      <c r="M245" s="1751"/>
      <c r="N245" s="1751"/>
      <c r="O245" s="1751"/>
      <c r="S245" s="1938"/>
    </row>
    <row r="246" spans="5:19" x14ac:dyDescent="0.2">
      <c r="E246" s="1751"/>
      <c r="F246" s="1751"/>
      <c r="G246" s="1751"/>
      <c r="H246" s="1751"/>
      <c r="I246" s="1751"/>
      <c r="J246" s="1751"/>
      <c r="K246" s="1751"/>
      <c r="L246" s="1751"/>
      <c r="M246" s="1751"/>
      <c r="N246" s="1751"/>
      <c r="O246" s="1751"/>
      <c r="S246" s="1938"/>
    </row>
    <row r="247" spans="5:19" x14ac:dyDescent="0.2">
      <c r="E247" s="1751"/>
      <c r="F247" s="1751"/>
      <c r="G247" s="1751"/>
      <c r="H247" s="1751"/>
      <c r="I247" s="1751"/>
      <c r="J247" s="1751"/>
      <c r="K247" s="1751"/>
      <c r="L247" s="1751"/>
      <c r="M247" s="1751"/>
      <c r="N247" s="1751"/>
      <c r="O247" s="1751"/>
      <c r="S247" s="1938"/>
    </row>
    <row r="248" spans="5:19" x14ac:dyDescent="0.2">
      <c r="E248" s="1751"/>
      <c r="F248" s="1751"/>
      <c r="G248" s="1751"/>
      <c r="H248" s="1751"/>
      <c r="I248" s="1751"/>
      <c r="J248" s="1751"/>
      <c r="K248" s="1751"/>
      <c r="L248" s="1751"/>
      <c r="M248" s="1751"/>
      <c r="N248" s="1751"/>
      <c r="O248" s="1751"/>
      <c r="S248" s="1938"/>
    </row>
    <row r="249" spans="5:19" x14ac:dyDescent="0.2">
      <c r="E249" s="1751"/>
      <c r="F249" s="1751"/>
      <c r="G249" s="1751"/>
      <c r="H249" s="1751"/>
      <c r="I249" s="1751"/>
      <c r="J249" s="1751"/>
      <c r="K249" s="1751"/>
      <c r="L249" s="1751"/>
      <c r="M249" s="1751"/>
      <c r="N249" s="1751"/>
      <c r="O249" s="1751"/>
      <c r="S249" s="1938"/>
    </row>
    <row r="250" spans="5:19" x14ac:dyDescent="0.2">
      <c r="E250" s="1751"/>
      <c r="F250" s="1751"/>
      <c r="G250" s="1751"/>
      <c r="H250" s="1751"/>
      <c r="I250" s="1751"/>
      <c r="J250" s="1751"/>
      <c r="K250" s="1751"/>
      <c r="L250" s="1751"/>
      <c r="M250" s="1751"/>
      <c r="N250" s="1751"/>
      <c r="O250" s="1751"/>
      <c r="S250" s="1938"/>
    </row>
    <row r="251" spans="5:19" x14ac:dyDescent="0.2">
      <c r="E251" s="1751"/>
      <c r="F251" s="1751"/>
      <c r="G251" s="1751"/>
      <c r="H251" s="1751"/>
      <c r="I251" s="1751"/>
      <c r="J251" s="1751"/>
      <c r="K251" s="1751"/>
      <c r="L251" s="1751"/>
      <c r="M251" s="1751"/>
      <c r="N251" s="1751"/>
      <c r="O251" s="1751"/>
      <c r="S251" s="1938"/>
    </row>
    <row r="252" spans="5:19" x14ac:dyDescent="0.2">
      <c r="E252" s="1751"/>
      <c r="F252" s="1751"/>
      <c r="G252" s="1751"/>
      <c r="H252" s="1751"/>
      <c r="I252" s="1751"/>
      <c r="J252" s="1751"/>
      <c r="K252" s="1751"/>
      <c r="L252" s="1751"/>
      <c r="M252" s="1751"/>
      <c r="N252" s="1751"/>
      <c r="O252" s="1751"/>
      <c r="S252" s="1938"/>
    </row>
    <row r="253" spans="5:19" x14ac:dyDescent="0.2">
      <c r="E253" s="1751"/>
      <c r="F253" s="1751"/>
      <c r="G253" s="1751"/>
      <c r="H253" s="1751"/>
      <c r="I253" s="1751"/>
      <c r="J253" s="1751"/>
      <c r="K253" s="1751"/>
      <c r="L253" s="1751"/>
      <c r="M253" s="1751"/>
      <c r="N253" s="1751"/>
      <c r="O253" s="1751"/>
      <c r="S253" s="1938"/>
    </row>
    <row r="254" spans="5:19" x14ac:dyDescent="0.2">
      <c r="E254" s="1751"/>
      <c r="F254" s="1751"/>
      <c r="G254" s="1751"/>
      <c r="H254" s="1751"/>
      <c r="I254" s="1751"/>
      <c r="J254" s="1751"/>
      <c r="K254" s="1751"/>
      <c r="L254" s="1751"/>
      <c r="M254" s="1751"/>
      <c r="N254" s="1751"/>
      <c r="O254" s="1751"/>
      <c r="S254" s="1938"/>
    </row>
    <row r="255" spans="5:19" x14ac:dyDescent="0.2">
      <c r="E255" s="1751"/>
      <c r="F255" s="1751"/>
      <c r="G255" s="1751"/>
      <c r="H255" s="1751"/>
      <c r="I255" s="1751"/>
      <c r="J255" s="1751"/>
      <c r="K255" s="1751"/>
      <c r="L255" s="1751"/>
      <c r="M255" s="1751"/>
      <c r="N255" s="1751"/>
      <c r="O255" s="1751"/>
      <c r="S255" s="1938"/>
    </row>
    <row r="256" spans="5:19" x14ac:dyDescent="0.2">
      <c r="E256" s="1751"/>
      <c r="F256" s="1751"/>
      <c r="G256" s="1751"/>
      <c r="H256" s="1751"/>
      <c r="I256" s="1751"/>
      <c r="J256" s="1751"/>
      <c r="K256" s="1751"/>
      <c r="L256" s="1751"/>
      <c r="M256" s="1751"/>
      <c r="N256" s="1751"/>
      <c r="O256" s="1751"/>
      <c r="S256" s="1938"/>
    </row>
    <row r="257" spans="5:19" x14ac:dyDescent="0.2">
      <c r="E257" s="1751"/>
      <c r="F257" s="1751"/>
      <c r="G257" s="1751"/>
      <c r="H257" s="1751"/>
      <c r="I257" s="1751"/>
      <c r="J257" s="1751"/>
      <c r="K257" s="1751"/>
      <c r="L257" s="1751"/>
      <c r="M257" s="1751"/>
      <c r="N257" s="1751"/>
      <c r="O257" s="1751"/>
      <c r="S257" s="1938"/>
    </row>
    <row r="258" spans="5:19" x14ac:dyDescent="0.2">
      <c r="E258" s="1751"/>
      <c r="F258" s="1751"/>
      <c r="G258" s="1751"/>
      <c r="H258" s="1751"/>
      <c r="I258" s="1751"/>
      <c r="J258" s="1751"/>
      <c r="K258" s="1751"/>
      <c r="L258" s="1751"/>
      <c r="M258" s="1751"/>
      <c r="N258" s="1751"/>
      <c r="O258" s="1751"/>
      <c r="S258" s="1938"/>
    </row>
    <row r="259" spans="5:19" x14ac:dyDescent="0.2">
      <c r="E259" s="1751"/>
      <c r="F259" s="1751"/>
      <c r="G259" s="1751"/>
      <c r="H259" s="1751"/>
      <c r="I259" s="1751"/>
      <c r="J259" s="1751"/>
      <c r="K259" s="1751"/>
      <c r="L259" s="1751"/>
      <c r="M259" s="1751"/>
      <c r="N259" s="1751"/>
      <c r="O259" s="1751"/>
      <c r="S259" s="1938"/>
    </row>
    <row r="260" spans="5:19" x14ac:dyDescent="0.2">
      <c r="E260" s="1751"/>
      <c r="F260" s="1751"/>
      <c r="G260" s="1751"/>
      <c r="H260" s="1751"/>
      <c r="I260" s="1751"/>
      <c r="J260" s="1751"/>
      <c r="K260" s="1751"/>
      <c r="L260" s="1751"/>
      <c r="M260" s="1751"/>
      <c r="N260" s="1751"/>
      <c r="O260" s="1751"/>
      <c r="S260" s="1938"/>
    </row>
    <row r="261" spans="5:19" x14ac:dyDescent="0.2">
      <c r="E261" s="1751"/>
      <c r="F261" s="1751"/>
      <c r="G261" s="1751"/>
      <c r="H261" s="1751"/>
      <c r="I261" s="1751"/>
      <c r="J261" s="1751"/>
      <c r="K261" s="1751"/>
      <c r="L261" s="1751"/>
      <c r="M261" s="1751"/>
      <c r="N261" s="1751"/>
      <c r="O261" s="1751"/>
      <c r="S261" s="1938"/>
    </row>
    <row r="262" spans="5:19" x14ac:dyDescent="0.2">
      <c r="E262" s="1751"/>
      <c r="F262" s="1751"/>
      <c r="G262" s="1751"/>
      <c r="H262" s="1751"/>
      <c r="I262" s="1751"/>
      <c r="J262" s="1751"/>
      <c r="K262" s="1751"/>
      <c r="L262" s="1751"/>
      <c r="M262" s="1751"/>
      <c r="N262" s="1751"/>
      <c r="O262" s="1751"/>
      <c r="S262" s="1938"/>
    </row>
    <row r="263" spans="5:19" x14ac:dyDescent="0.2">
      <c r="E263" s="1751"/>
      <c r="F263" s="1751"/>
      <c r="G263" s="1751"/>
      <c r="H263" s="1751"/>
      <c r="I263" s="1751"/>
      <c r="J263" s="1751"/>
      <c r="K263" s="1751"/>
      <c r="L263" s="1751"/>
      <c r="M263" s="1751"/>
      <c r="N263" s="1751"/>
      <c r="O263" s="1751"/>
      <c r="S263" s="1938"/>
    </row>
    <row r="264" spans="5:19" x14ac:dyDescent="0.2">
      <c r="E264" s="1751"/>
      <c r="F264" s="1751"/>
      <c r="G264" s="1751"/>
      <c r="H264" s="1751"/>
      <c r="I264" s="1751"/>
      <c r="J264" s="1751"/>
      <c r="K264" s="1751"/>
      <c r="L264" s="1751"/>
      <c r="M264" s="1751"/>
      <c r="N264" s="1751"/>
      <c r="O264" s="1751"/>
      <c r="S264" s="1938"/>
    </row>
    <row r="265" spans="5:19" x14ac:dyDescent="0.2">
      <c r="E265" s="1751"/>
      <c r="F265" s="1751"/>
      <c r="G265" s="1751"/>
      <c r="H265" s="1751"/>
      <c r="I265" s="1751"/>
      <c r="J265" s="1751"/>
      <c r="K265" s="1751"/>
      <c r="L265" s="1751"/>
      <c r="M265" s="1751"/>
      <c r="N265" s="1751"/>
      <c r="O265" s="1751"/>
      <c r="S265" s="1938"/>
    </row>
    <row r="266" spans="5:19" x14ac:dyDescent="0.2">
      <c r="E266" s="1751"/>
      <c r="F266" s="1751"/>
      <c r="G266" s="1751"/>
      <c r="H266" s="1751"/>
      <c r="I266" s="1751"/>
      <c r="J266" s="1751"/>
      <c r="K266" s="1751"/>
      <c r="L266" s="1751"/>
      <c r="M266" s="1751"/>
      <c r="N266" s="1751"/>
      <c r="O266" s="1751"/>
      <c r="S266" s="1938"/>
    </row>
    <row r="267" spans="5:19" x14ac:dyDescent="0.2">
      <c r="E267" s="1751"/>
      <c r="F267" s="1751"/>
      <c r="G267" s="1751"/>
      <c r="H267" s="1751"/>
      <c r="I267" s="1751"/>
      <c r="J267" s="1751"/>
      <c r="K267" s="1751"/>
      <c r="L267" s="1751"/>
      <c r="M267" s="1751"/>
      <c r="N267" s="1751"/>
      <c r="O267" s="1751"/>
      <c r="S267" s="1938"/>
    </row>
    <row r="268" spans="5:19" x14ac:dyDescent="0.2">
      <c r="E268" s="1751"/>
      <c r="F268" s="1751"/>
      <c r="G268" s="1751"/>
      <c r="H268" s="1751"/>
      <c r="I268" s="1751"/>
      <c r="J268" s="1751"/>
      <c r="K268" s="1751"/>
      <c r="L268" s="1751"/>
      <c r="M268" s="1751"/>
      <c r="N268" s="1751"/>
      <c r="O268" s="1751"/>
      <c r="S268" s="1938"/>
    </row>
    <row r="269" spans="5:19" x14ac:dyDescent="0.2">
      <c r="E269" s="1751"/>
      <c r="F269" s="1751"/>
      <c r="G269" s="1751"/>
      <c r="H269" s="1751"/>
      <c r="I269" s="1751"/>
      <c r="J269" s="1751"/>
      <c r="K269" s="1751"/>
      <c r="L269" s="1751"/>
      <c r="M269" s="1751"/>
      <c r="N269" s="1751"/>
      <c r="O269" s="1751"/>
      <c r="S269" s="1938"/>
    </row>
    <row r="270" spans="5:19" x14ac:dyDescent="0.2">
      <c r="E270" s="1751"/>
      <c r="F270" s="1751"/>
      <c r="G270" s="1751"/>
      <c r="H270" s="1751"/>
      <c r="I270" s="1751"/>
      <c r="J270" s="1751"/>
      <c r="K270" s="1751"/>
      <c r="L270" s="1751"/>
      <c r="M270" s="1751"/>
      <c r="N270" s="1751"/>
      <c r="O270" s="1751"/>
      <c r="S270" s="1938"/>
    </row>
    <row r="271" spans="5:19" x14ac:dyDescent="0.2">
      <c r="E271" s="1751"/>
      <c r="F271" s="1751"/>
      <c r="G271" s="1751"/>
      <c r="H271" s="1751"/>
      <c r="I271" s="1751"/>
      <c r="J271" s="1751"/>
      <c r="K271" s="1751"/>
      <c r="L271" s="1751"/>
      <c r="M271" s="1751"/>
      <c r="N271" s="1751"/>
      <c r="O271" s="1751"/>
      <c r="S271" s="1938"/>
    </row>
    <row r="272" spans="5:19" x14ac:dyDescent="0.2">
      <c r="E272" s="1751"/>
      <c r="F272" s="1751"/>
      <c r="G272" s="1751"/>
      <c r="H272" s="1751"/>
      <c r="I272" s="1751"/>
      <c r="J272" s="1751"/>
      <c r="K272" s="1751"/>
      <c r="L272" s="1751"/>
      <c r="M272" s="1751"/>
      <c r="N272" s="1751"/>
      <c r="O272" s="1751"/>
      <c r="S272" s="1938"/>
    </row>
    <row r="273" spans="5:19" x14ac:dyDescent="0.2">
      <c r="E273" s="1751"/>
      <c r="F273" s="1751"/>
      <c r="G273" s="1751"/>
      <c r="H273" s="1751"/>
      <c r="I273" s="1751"/>
      <c r="J273" s="1751"/>
      <c r="K273" s="1751"/>
      <c r="L273" s="1751"/>
      <c r="M273" s="1751"/>
      <c r="N273" s="1751"/>
      <c r="O273" s="1751"/>
      <c r="S273" s="1938"/>
    </row>
    <row r="274" spans="5:19" x14ac:dyDescent="0.2">
      <c r="E274" s="1751"/>
      <c r="F274" s="1751"/>
      <c r="G274" s="1751"/>
      <c r="H274" s="1751"/>
      <c r="I274" s="1751"/>
      <c r="J274" s="1751"/>
      <c r="K274" s="1751"/>
      <c r="L274" s="1751"/>
      <c r="M274" s="1751"/>
      <c r="N274" s="1751"/>
      <c r="O274" s="1751"/>
      <c r="S274" s="1938"/>
    </row>
    <row r="275" spans="5:19" x14ac:dyDescent="0.2">
      <c r="E275" s="1751"/>
      <c r="F275" s="1751"/>
      <c r="G275" s="1751"/>
      <c r="H275" s="1751"/>
      <c r="I275" s="1751"/>
      <c r="J275" s="1751"/>
      <c r="K275" s="1751"/>
      <c r="L275" s="1751"/>
      <c r="M275" s="1751"/>
      <c r="N275" s="1751"/>
      <c r="O275" s="1751"/>
      <c r="S275" s="1938"/>
    </row>
    <row r="276" spans="5:19" x14ac:dyDescent="0.2">
      <c r="E276" s="1751"/>
      <c r="F276" s="1751"/>
      <c r="G276" s="1751"/>
      <c r="H276" s="1751"/>
      <c r="I276" s="1751"/>
      <c r="J276" s="1751"/>
      <c r="K276" s="1751"/>
      <c r="L276" s="1751"/>
      <c r="M276" s="1751"/>
      <c r="N276" s="1751"/>
      <c r="O276" s="1751"/>
      <c r="S276" s="1938"/>
    </row>
    <row r="277" spans="5:19" x14ac:dyDescent="0.2">
      <c r="E277" s="1751"/>
      <c r="F277" s="1751"/>
      <c r="G277" s="1751"/>
      <c r="H277" s="1751"/>
      <c r="I277" s="1751"/>
      <c r="J277" s="1751"/>
      <c r="K277" s="1751"/>
      <c r="L277" s="1751"/>
      <c r="M277" s="1751"/>
      <c r="N277" s="1751"/>
      <c r="O277" s="1751"/>
      <c r="S277" s="1938"/>
    </row>
    <row r="278" spans="5:19" x14ac:dyDescent="0.2">
      <c r="E278" s="1751"/>
      <c r="F278" s="1751"/>
      <c r="G278" s="1751"/>
      <c r="H278" s="1751"/>
      <c r="I278" s="1751"/>
      <c r="J278" s="1751"/>
      <c r="K278" s="1751"/>
      <c r="L278" s="1751"/>
      <c r="M278" s="1751"/>
      <c r="N278" s="1751"/>
      <c r="O278" s="1751"/>
      <c r="S278" s="1938"/>
    </row>
    <row r="279" spans="5:19" x14ac:dyDescent="0.2">
      <c r="E279" s="1751"/>
      <c r="F279" s="1751"/>
      <c r="G279" s="1751"/>
      <c r="H279" s="1751"/>
      <c r="I279" s="1751"/>
      <c r="J279" s="1751"/>
      <c r="K279" s="1751"/>
      <c r="L279" s="1751"/>
      <c r="M279" s="1751"/>
      <c r="N279" s="1751"/>
      <c r="O279" s="1751"/>
      <c r="S279" s="1938"/>
    </row>
    <row r="280" spans="5:19" x14ac:dyDescent="0.2">
      <c r="E280" s="1751"/>
      <c r="F280" s="1751"/>
      <c r="G280" s="1751"/>
      <c r="H280" s="1751"/>
      <c r="I280" s="1751"/>
      <c r="J280" s="1751"/>
      <c r="K280" s="1751"/>
      <c r="L280" s="1751"/>
      <c r="M280" s="1751"/>
      <c r="N280" s="1751"/>
      <c r="O280" s="1751"/>
      <c r="S280" s="1938"/>
    </row>
    <row r="281" spans="5:19" x14ac:dyDescent="0.2">
      <c r="E281" s="1751"/>
      <c r="F281" s="1751"/>
      <c r="G281" s="1751"/>
      <c r="H281" s="1751"/>
      <c r="I281" s="1751"/>
      <c r="J281" s="1751"/>
      <c r="K281" s="1751"/>
      <c r="L281" s="1751"/>
      <c r="M281" s="1751"/>
      <c r="N281" s="1751"/>
      <c r="O281" s="1751"/>
      <c r="S281" s="1938"/>
    </row>
    <row r="282" spans="5:19" x14ac:dyDescent="0.2">
      <c r="E282" s="1751"/>
      <c r="F282" s="1751"/>
      <c r="G282" s="1751"/>
      <c r="H282" s="1751"/>
      <c r="I282" s="1751"/>
      <c r="J282" s="1751"/>
      <c r="K282" s="1751"/>
      <c r="L282" s="1751"/>
      <c r="M282" s="1751"/>
      <c r="N282" s="1751"/>
      <c r="O282" s="1751"/>
      <c r="S282" s="1938"/>
    </row>
    <row r="283" spans="5:19" x14ac:dyDescent="0.2">
      <c r="E283" s="1751"/>
      <c r="F283" s="1751"/>
      <c r="G283" s="1751"/>
      <c r="H283" s="1751"/>
      <c r="I283" s="1751"/>
      <c r="J283" s="1751"/>
      <c r="K283" s="1751"/>
      <c r="L283" s="1751"/>
      <c r="M283" s="1751"/>
      <c r="N283" s="1751"/>
      <c r="O283" s="1751"/>
      <c r="S283" s="1938"/>
    </row>
    <row r="284" spans="5:19" x14ac:dyDescent="0.2">
      <c r="E284" s="1751"/>
      <c r="F284" s="1751"/>
      <c r="G284" s="1751"/>
      <c r="H284" s="1751"/>
      <c r="I284" s="1751"/>
      <c r="J284" s="1751"/>
      <c r="K284" s="1751"/>
      <c r="L284" s="1751"/>
      <c r="M284" s="1751"/>
      <c r="N284" s="1751"/>
      <c r="O284" s="1751"/>
      <c r="S284" s="1938"/>
    </row>
    <row r="285" spans="5:19" x14ac:dyDescent="0.2">
      <c r="E285" s="1751"/>
      <c r="F285" s="1751"/>
      <c r="G285" s="1751"/>
      <c r="H285" s="1751"/>
      <c r="I285" s="1751"/>
      <c r="J285" s="1751"/>
      <c r="K285" s="1751"/>
      <c r="L285" s="1751"/>
      <c r="M285" s="1751"/>
      <c r="N285" s="1751"/>
      <c r="O285" s="1751"/>
      <c r="S285" s="1938"/>
    </row>
    <row r="286" spans="5:19" x14ac:dyDescent="0.2">
      <c r="E286" s="1751"/>
      <c r="F286" s="1751"/>
      <c r="G286" s="1751"/>
      <c r="H286" s="1751"/>
      <c r="I286" s="1751"/>
      <c r="J286" s="1751"/>
      <c r="K286" s="1751"/>
      <c r="L286" s="1751"/>
      <c r="M286" s="1751"/>
      <c r="N286" s="1751"/>
      <c r="O286" s="1751"/>
      <c r="S286" s="1938"/>
    </row>
    <row r="287" spans="5:19" x14ac:dyDescent="0.2">
      <c r="E287" s="1751"/>
      <c r="F287" s="1751"/>
      <c r="G287" s="1751"/>
      <c r="H287" s="1751"/>
      <c r="I287" s="1751"/>
      <c r="J287" s="1751"/>
      <c r="K287" s="1751"/>
      <c r="L287" s="1751"/>
      <c r="M287" s="1751"/>
      <c r="N287" s="1751"/>
      <c r="O287" s="1751"/>
      <c r="S287" s="1938"/>
    </row>
    <row r="288" spans="5:19" x14ac:dyDescent="0.2">
      <c r="E288" s="1751"/>
      <c r="F288" s="1751"/>
      <c r="G288" s="1751"/>
      <c r="H288" s="1751"/>
      <c r="I288" s="1751"/>
      <c r="J288" s="1751"/>
      <c r="K288" s="1751"/>
      <c r="L288" s="1751"/>
      <c r="M288" s="1751"/>
      <c r="N288" s="1751"/>
      <c r="O288" s="1751"/>
      <c r="S288" s="1938"/>
    </row>
    <row r="289" spans="5:19" x14ac:dyDescent="0.2">
      <c r="E289" s="1751"/>
      <c r="F289" s="1751"/>
      <c r="G289" s="1751"/>
      <c r="H289" s="1751"/>
      <c r="I289" s="1751"/>
      <c r="J289" s="1751"/>
      <c r="K289" s="1751"/>
      <c r="L289" s="1751"/>
      <c r="M289" s="1751"/>
      <c r="N289" s="1751"/>
      <c r="O289" s="1751"/>
      <c r="S289" s="1938"/>
    </row>
    <row r="290" spans="5:19" x14ac:dyDescent="0.2">
      <c r="E290" s="1751"/>
      <c r="F290" s="1751"/>
      <c r="G290" s="1751"/>
      <c r="H290" s="1751"/>
      <c r="I290" s="1751"/>
      <c r="J290" s="1751"/>
      <c r="K290" s="1751"/>
      <c r="L290" s="1751"/>
      <c r="M290" s="1751"/>
      <c r="N290" s="1751"/>
      <c r="O290" s="1751"/>
      <c r="S290" s="1938"/>
    </row>
    <row r="291" spans="5:19" x14ac:dyDescent="0.2">
      <c r="E291" s="1751"/>
      <c r="F291" s="1751"/>
      <c r="G291" s="1751"/>
      <c r="H291" s="1751"/>
      <c r="I291" s="1751"/>
      <c r="J291" s="1751"/>
      <c r="K291" s="1751"/>
      <c r="L291" s="1751"/>
      <c r="M291" s="1751"/>
      <c r="N291" s="1751"/>
      <c r="O291" s="1751"/>
      <c r="S291" s="1938"/>
    </row>
    <row r="292" spans="5:19" x14ac:dyDescent="0.2">
      <c r="E292" s="1751"/>
      <c r="F292" s="1751"/>
      <c r="G292" s="1751"/>
      <c r="H292" s="1751"/>
      <c r="I292" s="1751"/>
      <c r="J292" s="1751"/>
      <c r="K292" s="1751"/>
      <c r="L292" s="1751"/>
      <c r="M292" s="1751"/>
      <c r="N292" s="1751"/>
      <c r="O292" s="1751"/>
      <c r="S292" s="1938"/>
    </row>
    <row r="293" spans="5:19" x14ac:dyDescent="0.2">
      <c r="E293" s="1751"/>
      <c r="F293" s="1751"/>
      <c r="G293" s="1751"/>
      <c r="H293" s="1751"/>
      <c r="I293" s="1751"/>
      <c r="J293" s="1751"/>
      <c r="K293" s="1751"/>
      <c r="L293" s="1751"/>
      <c r="M293" s="1751"/>
      <c r="N293" s="1751"/>
      <c r="O293" s="1751"/>
      <c r="S293" s="1938"/>
    </row>
    <row r="294" spans="5:19" x14ac:dyDescent="0.2">
      <c r="E294" s="1751"/>
      <c r="F294" s="1751"/>
      <c r="G294" s="1751"/>
      <c r="H294" s="1751"/>
      <c r="I294" s="1751"/>
      <c r="J294" s="1751"/>
      <c r="K294" s="1751"/>
      <c r="L294" s="1751"/>
      <c r="M294" s="1751"/>
      <c r="N294" s="1751"/>
      <c r="O294" s="1751"/>
      <c r="S294" s="1938"/>
    </row>
    <row r="295" spans="5:19" x14ac:dyDescent="0.2">
      <c r="E295" s="1751"/>
      <c r="F295" s="1751"/>
      <c r="G295" s="1751"/>
      <c r="H295" s="1751"/>
      <c r="I295" s="1751"/>
      <c r="J295" s="1751"/>
      <c r="K295" s="1751"/>
      <c r="L295" s="1751"/>
      <c r="M295" s="1751"/>
      <c r="N295" s="1751"/>
      <c r="O295" s="1751"/>
      <c r="S295" s="1938"/>
    </row>
    <row r="296" spans="5:19" x14ac:dyDescent="0.2">
      <c r="E296" s="1751"/>
      <c r="F296" s="1751"/>
      <c r="G296" s="1751"/>
      <c r="H296" s="1751"/>
      <c r="I296" s="1751"/>
      <c r="J296" s="1751"/>
      <c r="K296" s="1751"/>
      <c r="L296" s="1751"/>
      <c r="M296" s="1751"/>
      <c r="N296" s="1751"/>
      <c r="O296" s="1751"/>
      <c r="S296" s="1938"/>
    </row>
    <row r="297" spans="5:19" x14ac:dyDescent="0.2">
      <c r="E297" s="1751"/>
      <c r="F297" s="1751"/>
      <c r="G297" s="1751"/>
      <c r="H297" s="1751"/>
      <c r="I297" s="1751"/>
      <c r="J297" s="1751"/>
      <c r="K297" s="1751"/>
      <c r="L297" s="1751"/>
      <c r="M297" s="1751"/>
      <c r="N297" s="1751"/>
      <c r="O297" s="1751"/>
      <c r="S297" s="1938"/>
    </row>
    <row r="298" spans="5:19" x14ac:dyDescent="0.2">
      <c r="E298" s="1751"/>
      <c r="F298" s="1751"/>
      <c r="G298" s="1751"/>
      <c r="H298" s="1751"/>
      <c r="I298" s="1751"/>
      <c r="J298" s="1751"/>
      <c r="K298" s="1751"/>
      <c r="L298" s="1751"/>
      <c r="M298" s="1751"/>
      <c r="N298" s="1751"/>
      <c r="O298" s="1751"/>
      <c r="S298" s="1938"/>
    </row>
    <row r="299" spans="5:19" x14ac:dyDescent="0.2">
      <c r="E299" s="1751"/>
      <c r="F299" s="1751"/>
      <c r="G299" s="1751"/>
      <c r="H299" s="1751"/>
      <c r="I299" s="1751"/>
      <c r="J299" s="1751"/>
      <c r="K299" s="1751"/>
      <c r="L299" s="1751"/>
      <c r="M299" s="1751"/>
      <c r="N299" s="1751"/>
      <c r="O299" s="1751"/>
      <c r="S299" s="1938"/>
    </row>
    <row r="300" spans="5:19" x14ac:dyDescent="0.2">
      <c r="E300" s="1751"/>
      <c r="F300" s="1751"/>
      <c r="G300" s="1751"/>
      <c r="H300" s="1751"/>
      <c r="I300" s="1751"/>
      <c r="J300" s="1751"/>
      <c r="K300" s="1751"/>
      <c r="L300" s="1751"/>
      <c r="M300" s="1751"/>
      <c r="N300" s="1751"/>
      <c r="O300" s="1751"/>
      <c r="S300" s="1938"/>
    </row>
    <row r="301" spans="5:19" x14ac:dyDescent="0.2">
      <c r="E301" s="1751"/>
      <c r="F301" s="1751"/>
      <c r="G301" s="1751"/>
      <c r="H301" s="1751"/>
      <c r="I301" s="1751"/>
      <c r="J301" s="1751"/>
      <c r="K301" s="1751"/>
      <c r="L301" s="1751"/>
      <c r="M301" s="1751"/>
      <c r="N301" s="1751"/>
      <c r="O301" s="1751"/>
      <c r="S301" s="1938"/>
    </row>
    <row r="302" spans="5:19" x14ac:dyDescent="0.2">
      <c r="E302" s="1751"/>
      <c r="F302" s="1751"/>
      <c r="G302" s="1751"/>
      <c r="H302" s="1751"/>
      <c r="I302" s="1751"/>
      <c r="J302" s="1751"/>
      <c r="K302" s="1751"/>
      <c r="L302" s="1751"/>
      <c r="M302" s="1751"/>
      <c r="N302" s="1751"/>
      <c r="O302" s="1751"/>
      <c r="S302" s="1938"/>
    </row>
    <row r="303" spans="5:19" x14ac:dyDescent="0.2">
      <c r="E303" s="1751"/>
      <c r="F303" s="1751"/>
      <c r="G303" s="1751"/>
      <c r="H303" s="1751"/>
      <c r="I303" s="1751"/>
      <c r="J303" s="1751"/>
      <c r="K303" s="1751"/>
      <c r="L303" s="1751"/>
      <c r="M303" s="1751"/>
      <c r="N303" s="1751"/>
      <c r="O303" s="1751"/>
      <c r="S303" s="1938"/>
    </row>
    <row r="304" spans="5:19" x14ac:dyDescent="0.2">
      <c r="E304" s="1751"/>
      <c r="F304" s="1751"/>
      <c r="G304" s="1751"/>
      <c r="H304" s="1751"/>
      <c r="I304" s="1751"/>
      <c r="J304" s="1751"/>
      <c r="K304" s="1751"/>
      <c r="L304" s="1751"/>
      <c r="M304" s="1751"/>
      <c r="N304" s="1751"/>
      <c r="O304" s="1751"/>
      <c r="S304" s="1938"/>
    </row>
    <row r="305" spans="5:19" x14ac:dyDescent="0.2">
      <c r="E305" s="1751"/>
      <c r="F305" s="1751"/>
      <c r="G305" s="1751"/>
      <c r="H305" s="1751"/>
      <c r="I305" s="1751"/>
      <c r="J305" s="1751"/>
      <c r="K305" s="1751"/>
      <c r="L305" s="1751"/>
      <c r="M305" s="1751"/>
      <c r="N305" s="1751"/>
      <c r="O305" s="1751"/>
      <c r="S305" s="1938"/>
    </row>
    <row r="306" spans="5:19" x14ac:dyDescent="0.2">
      <c r="E306" s="1751"/>
      <c r="F306" s="1751"/>
      <c r="G306" s="1751"/>
      <c r="H306" s="1751"/>
      <c r="I306" s="1751"/>
      <c r="J306" s="1751"/>
      <c r="K306" s="1751"/>
      <c r="L306" s="1751"/>
      <c r="M306" s="1751"/>
      <c r="N306" s="1751"/>
      <c r="O306" s="1751"/>
      <c r="S306" s="1938"/>
    </row>
    <row r="307" spans="5:19" x14ac:dyDescent="0.2">
      <c r="E307" s="1751"/>
      <c r="F307" s="1751"/>
      <c r="G307" s="1751"/>
      <c r="H307" s="1751"/>
      <c r="I307" s="1751"/>
      <c r="J307" s="1751"/>
      <c r="K307" s="1751"/>
      <c r="L307" s="1751"/>
      <c r="M307" s="1751"/>
      <c r="N307" s="1751"/>
      <c r="O307" s="1751"/>
      <c r="S307" s="1938"/>
    </row>
    <row r="308" spans="5:19" x14ac:dyDescent="0.2">
      <c r="E308" s="1751"/>
      <c r="F308" s="1751"/>
      <c r="G308" s="1751"/>
      <c r="H308" s="1751"/>
      <c r="I308" s="1751"/>
      <c r="J308" s="1751"/>
      <c r="K308" s="1751"/>
      <c r="L308" s="1751"/>
      <c r="M308" s="1751"/>
      <c r="N308" s="1751"/>
      <c r="O308" s="1751"/>
      <c r="S308" s="1938"/>
    </row>
    <row r="309" spans="5:19" x14ac:dyDescent="0.2">
      <c r="E309" s="1751"/>
      <c r="F309" s="1751"/>
      <c r="G309" s="1751"/>
      <c r="H309" s="1751"/>
      <c r="I309" s="1751"/>
      <c r="J309" s="1751"/>
      <c r="K309" s="1751"/>
      <c r="L309" s="1751"/>
      <c r="M309" s="1751"/>
      <c r="N309" s="1751"/>
      <c r="O309" s="1751"/>
      <c r="S309" s="1938"/>
    </row>
    <row r="310" spans="5:19" x14ac:dyDescent="0.2">
      <c r="E310" s="1751"/>
      <c r="F310" s="1751"/>
      <c r="G310" s="1751"/>
      <c r="H310" s="1751"/>
      <c r="I310" s="1751"/>
      <c r="J310" s="1751"/>
      <c r="K310" s="1751"/>
      <c r="L310" s="1751"/>
      <c r="M310" s="1751"/>
      <c r="N310" s="1751"/>
      <c r="O310" s="1751"/>
      <c r="S310" s="1938"/>
    </row>
    <row r="311" spans="5:19" x14ac:dyDescent="0.2">
      <c r="E311" s="1751"/>
      <c r="F311" s="1751"/>
      <c r="G311" s="1751"/>
      <c r="H311" s="1751"/>
      <c r="I311" s="1751"/>
      <c r="J311" s="1751"/>
      <c r="K311" s="1751"/>
      <c r="L311" s="1751"/>
      <c r="M311" s="1751"/>
      <c r="N311" s="1751"/>
      <c r="O311" s="1751"/>
      <c r="S311" s="1938"/>
    </row>
    <row r="312" spans="5:19" x14ac:dyDescent="0.2">
      <c r="E312" s="1751"/>
      <c r="F312" s="1751"/>
      <c r="G312" s="1751"/>
      <c r="H312" s="1751"/>
      <c r="I312" s="1751"/>
      <c r="J312" s="1751"/>
      <c r="K312" s="1751"/>
      <c r="L312" s="1751"/>
      <c r="M312" s="1751"/>
      <c r="N312" s="1751"/>
      <c r="O312" s="1751"/>
      <c r="S312" s="1938"/>
    </row>
    <row r="313" spans="5:19" x14ac:dyDescent="0.2">
      <c r="E313" s="1751"/>
      <c r="F313" s="1751"/>
      <c r="G313" s="1751"/>
      <c r="H313" s="1751"/>
      <c r="I313" s="1751"/>
      <c r="J313" s="1751"/>
      <c r="K313" s="1751"/>
      <c r="L313" s="1751"/>
      <c r="M313" s="1751"/>
      <c r="N313" s="1751"/>
      <c r="O313" s="1751"/>
      <c r="S313" s="1938"/>
    </row>
    <row r="314" spans="5:19" x14ac:dyDescent="0.2">
      <c r="E314" s="1751"/>
      <c r="F314" s="1751"/>
      <c r="G314" s="1751"/>
      <c r="H314" s="1751"/>
      <c r="I314" s="1751"/>
      <c r="J314" s="1751"/>
      <c r="K314" s="1751"/>
      <c r="L314" s="1751"/>
      <c r="M314" s="1751"/>
      <c r="N314" s="1751"/>
      <c r="O314" s="1751"/>
      <c r="S314" s="1938"/>
    </row>
    <row r="315" spans="5:19" x14ac:dyDescent="0.2">
      <c r="E315" s="1751"/>
      <c r="F315" s="1751"/>
      <c r="G315" s="1751"/>
      <c r="H315" s="1751"/>
      <c r="I315" s="1751"/>
      <c r="J315" s="1751"/>
      <c r="K315" s="1751"/>
      <c r="L315" s="1751"/>
      <c r="M315" s="1751"/>
      <c r="N315" s="1751"/>
      <c r="O315" s="1751"/>
      <c r="S315" s="1938"/>
    </row>
    <row r="316" spans="5:19" x14ac:dyDescent="0.2">
      <c r="E316" s="1751"/>
      <c r="F316" s="1751"/>
      <c r="G316" s="1751"/>
      <c r="H316" s="1751"/>
      <c r="I316" s="1751"/>
      <c r="J316" s="1751"/>
      <c r="K316" s="1751"/>
      <c r="L316" s="1751"/>
      <c r="M316" s="1751"/>
      <c r="N316" s="1751"/>
      <c r="O316" s="1751"/>
      <c r="S316" s="1938"/>
    </row>
    <row r="317" spans="5:19" x14ac:dyDescent="0.2">
      <c r="E317" s="1751"/>
      <c r="F317" s="1751"/>
      <c r="G317" s="1751"/>
      <c r="H317" s="1751"/>
      <c r="I317" s="1751"/>
      <c r="J317" s="1751"/>
      <c r="K317" s="1751"/>
      <c r="L317" s="1751"/>
      <c r="M317" s="1751"/>
      <c r="N317" s="1751"/>
      <c r="O317" s="1751"/>
      <c r="S317" s="1938"/>
    </row>
    <row r="318" spans="5:19" x14ac:dyDescent="0.2">
      <c r="E318" s="1751"/>
      <c r="F318" s="1751"/>
      <c r="G318" s="1751"/>
      <c r="H318" s="1751"/>
      <c r="I318" s="1751"/>
      <c r="J318" s="1751"/>
      <c r="K318" s="1751"/>
      <c r="L318" s="1751"/>
      <c r="M318" s="1751"/>
      <c r="N318" s="1751"/>
      <c r="O318" s="1751"/>
      <c r="S318" s="1938"/>
    </row>
    <row r="319" spans="5:19" x14ac:dyDescent="0.2">
      <c r="E319" s="1751"/>
      <c r="F319" s="1751"/>
      <c r="G319" s="1751"/>
      <c r="H319" s="1751"/>
      <c r="I319" s="1751"/>
      <c r="J319" s="1751"/>
      <c r="K319" s="1751"/>
      <c r="L319" s="1751"/>
      <c r="M319" s="1751"/>
      <c r="N319" s="1751"/>
      <c r="O319" s="1751"/>
      <c r="S319" s="1938"/>
    </row>
    <row r="320" spans="5:19" x14ac:dyDescent="0.2">
      <c r="E320" s="1751"/>
      <c r="F320" s="1751"/>
      <c r="G320" s="1751"/>
      <c r="H320" s="1751"/>
      <c r="I320" s="1751"/>
      <c r="J320" s="1751"/>
      <c r="K320" s="1751"/>
      <c r="L320" s="1751"/>
      <c r="M320" s="1751"/>
      <c r="N320" s="1751"/>
      <c r="O320" s="1751"/>
      <c r="S320" s="1938"/>
    </row>
    <row r="321" spans="5:19" x14ac:dyDescent="0.2">
      <c r="E321" s="1751"/>
      <c r="F321" s="1751"/>
      <c r="G321" s="1751"/>
      <c r="H321" s="1751"/>
      <c r="I321" s="1751"/>
      <c r="J321" s="1751"/>
      <c r="K321" s="1751"/>
      <c r="L321" s="1751"/>
      <c r="M321" s="1751"/>
      <c r="N321" s="1751"/>
      <c r="O321" s="1751"/>
      <c r="S321" s="1938"/>
    </row>
    <row r="322" spans="5:19" x14ac:dyDescent="0.2">
      <c r="E322" s="1751"/>
      <c r="F322" s="1751"/>
      <c r="G322" s="1751"/>
      <c r="H322" s="1751"/>
      <c r="I322" s="1751"/>
      <c r="J322" s="1751"/>
      <c r="K322" s="1751"/>
      <c r="L322" s="1751"/>
      <c r="M322" s="1751"/>
      <c r="N322" s="1751"/>
      <c r="O322" s="1751"/>
      <c r="S322" s="1938"/>
    </row>
    <row r="323" spans="5:19" x14ac:dyDescent="0.2">
      <c r="E323" s="1751"/>
      <c r="F323" s="1751"/>
      <c r="G323" s="1751"/>
      <c r="H323" s="1751"/>
      <c r="I323" s="1751"/>
      <c r="J323" s="1751"/>
      <c r="K323" s="1751"/>
      <c r="L323" s="1751"/>
      <c r="M323" s="1751"/>
      <c r="N323" s="1751"/>
      <c r="O323" s="1751"/>
      <c r="S323" s="1938"/>
    </row>
    <row r="324" spans="5:19" x14ac:dyDescent="0.2">
      <c r="E324" s="1751"/>
      <c r="F324" s="1751"/>
      <c r="G324" s="1751"/>
      <c r="H324" s="1751"/>
      <c r="I324" s="1751"/>
      <c r="J324" s="1751"/>
      <c r="K324" s="1751"/>
      <c r="L324" s="1751"/>
      <c r="M324" s="1751"/>
      <c r="N324" s="1751"/>
      <c r="O324" s="1751"/>
      <c r="S324" s="1938"/>
    </row>
    <row r="325" spans="5:19" x14ac:dyDescent="0.2">
      <c r="E325" s="1751"/>
      <c r="F325" s="1751"/>
      <c r="G325" s="1751"/>
      <c r="H325" s="1751"/>
      <c r="I325" s="1751"/>
      <c r="J325" s="1751"/>
      <c r="K325" s="1751"/>
      <c r="L325" s="1751"/>
      <c r="M325" s="1751"/>
      <c r="N325" s="1751"/>
      <c r="O325" s="1751"/>
      <c r="S325" s="1938"/>
    </row>
    <row r="326" spans="5:19" x14ac:dyDescent="0.2">
      <c r="E326" s="1751"/>
      <c r="F326" s="1751"/>
      <c r="G326" s="1751"/>
      <c r="H326" s="1751"/>
      <c r="I326" s="1751"/>
      <c r="J326" s="1751"/>
      <c r="K326" s="1751"/>
      <c r="L326" s="1751"/>
      <c r="M326" s="1751"/>
      <c r="N326" s="1751"/>
      <c r="O326" s="1751"/>
      <c r="S326" s="1938"/>
    </row>
    <row r="327" spans="5:19" x14ac:dyDescent="0.2">
      <c r="E327" s="1751"/>
      <c r="F327" s="1751"/>
      <c r="G327" s="1751"/>
      <c r="H327" s="1751"/>
      <c r="I327" s="1751"/>
      <c r="J327" s="1751"/>
      <c r="K327" s="1751"/>
      <c r="L327" s="1751"/>
      <c r="M327" s="1751"/>
      <c r="N327" s="1751"/>
      <c r="O327" s="1751"/>
      <c r="S327" s="1938"/>
    </row>
    <row r="328" spans="5:19" x14ac:dyDescent="0.2">
      <c r="E328" s="1751"/>
      <c r="F328" s="1751"/>
      <c r="G328" s="1751"/>
      <c r="H328" s="1751"/>
      <c r="I328" s="1751"/>
      <c r="J328" s="1751"/>
      <c r="K328" s="1751"/>
      <c r="L328" s="1751"/>
      <c r="M328" s="1751"/>
      <c r="N328" s="1751"/>
      <c r="O328" s="1751"/>
      <c r="S328" s="1938"/>
    </row>
    <row r="329" spans="5:19" x14ac:dyDescent="0.2">
      <c r="E329" s="1751"/>
      <c r="F329" s="1751"/>
      <c r="G329" s="1751"/>
      <c r="H329" s="1751"/>
      <c r="I329" s="1751"/>
      <c r="J329" s="1751"/>
      <c r="K329" s="1751"/>
      <c r="L329" s="1751"/>
      <c r="M329" s="1751"/>
      <c r="N329" s="1751"/>
      <c r="O329" s="1751"/>
      <c r="S329" s="1938"/>
    </row>
    <row r="330" spans="5:19" x14ac:dyDescent="0.2">
      <c r="E330" s="1751"/>
      <c r="F330" s="1751"/>
      <c r="G330" s="1751"/>
      <c r="H330" s="1751"/>
      <c r="I330" s="1751"/>
      <c r="J330" s="1751"/>
      <c r="K330" s="1751"/>
      <c r="L330" s="1751"/>
      <c r="M330" s="1751"/>
      <c r="N330" s="1751"/>
      <c r="O330" s="1751"/>
      <c r="S330" s="1938"/>
    </row>
    <row r="331" spans="5:19" x14ac:dyDescent="0.2">
      <c r="E331" s="1751"/>
      <c r="F331" s="1751"/>
      <c r="G331" s="1751"/>
      <c r="H331" s="1751"/>
      <c r="I331" s="1751"/>
      <c r="J331" s="1751"/>
      <c r="K331" s="1751"/>
      <c r="L331" s="1751"/>
      <c r="M331" s="1751"/>
      <c r="N331" s="1751"/>
      <c r="O331" s="1751"/>
      <c r="S331" s="1938"/>
    </row>
    <row r="332" spans="5:19" x14ac:dyDescent="0.2">
      <c r="E332" s="1751"/>
      <c r="F332" s="1751"/>
      <c r="G332" s="1751"/>
      <c r="H332" s="1751"/>
      <c r="I332" s="1751"/>
      <c r="J332" s="1751"/>
      <c r="K332" s="1751"/>
      <c r="L332" s="1751"/>
      <c r="M332" s="1751"/>
      <c r="N332" s="1751"/>
      <c r="O332" s="1751"/>
      <c r="S332" s="1938"/>
    </row>
    <row r="333" spans="5:19" x14ac:dyDescent="0.2">
      <c r="E333" s="1751"/>
      <c r="F333" s="1751"/>
      <c r="G333" s="1751"/>
      <c r="H333" s="1751"/>
      <c r="I333" s="1751"/>
      <c r="J333" s="1751"/>
      <c r="K333" s="1751"/>
      <c r="L333" s="1751"/>
      <c r="M333" s="1751"/>
      <c r="N333" s="1751"/>
      <c r="O333" s="1751"/>
      <c r="S333" s="1938"/>
    </row>
    <row r="334" spans="5:19" x14ac:dyDescent="0.2">
      <c r="E334" s="1751"/>
      <c r="F334" s="1751"/>
      <c r="G334" s="1751"/>
      <c r="H334" s="1751"/>
      <c r="I334" s="1751"/>
      <c r="J334" s="1751"/>
      <c r="K334" s="1751"/>
      <c r="L334" s="1751"/>
      <c r="M334" s="1751"/>
      <c r="N334" s="1751"/>
      <c r="O334" s="1751"/>
      <c r="S334" s="1938"/>
    </row>
    <row r="335" spans="5:19" x14ac:dyDescent="0.2">
      <c r="E335" s="1751"/>
      <c r="F335" s="1751"/>
      <c r="G335" s="1751"/>
      <c r="H335" s="1751"/>
      <c r="I335" s="1751"/>
      <c r="J335" s="1751"/>
      <c r="K335" s="1751"/>
      <c r="L335" s="1751"/>
      <c r="M335" s="1751"/>
      <c r="N335" s="1751"/>
      <c r="O335" s="1751"/>
      <c r="S335" s="1938"/>
    </row>
    <row r="336" spans="5:19" x14ac:dyDescent="0.2">
      <c r="E336" s="1751"/>
      <c r="F336" s="1751"/>
      <c r="G336" s="1751"/>
      <c r="H336" s="1751"/>
      <c r="I336" s="1751"/>
      <c r="J336" s="1751"/>
      <c r="K336" s="1751"/>
      <c r="L336" s="1751"/>
      <c r="M336" s="1751"/>
      <c r="N336" s="1751"/>
      <c r="O336" s="1751"/>
      <c r="S336" s="1938"/>
    </row>
    <row r="337" spans="5:19" x14ac:dyDescent="0.2">
      <c r="E337" s="1751"/>
      <c r="F337" s="1751"/>
      <c r="G337" s="1751"/>
      <c r="H337" s="1751"/>
      <c r="I337" s="1751"/>
      <c r="J337" s="1751"/>
      <c r="K337" s="1751"/>
      <c r="L337" s="1751"/>
      <c r="M337" s="1751"/>
      <c r="N337" s="1751"/>
      <c r="O337" s="1751"/>
      <c r="S337" s="1938"/>
    </row>
    <row r="338" spans="5:19" x14ac:dyDescent="0.2">
      <c r="E338" s="1751"/>
      <c r="F338" s="1751"/>
      <c r="G338" s="1751"/>
      <c r="H338" s="1751"/>
      <c r="I338" s="1751"/>
      <c r="J338" s="1751"/>
      <c r="K338" s="1751"/>
      <c r="L338" s="1751"/>
      <c r="M338" s="1751"/>
      <c r="N338" s="1751"/>
      <c r="O338" s="1751"/>
      <c r="S338" s="1938"/>
    </row>
    <row r="339" spans="5:19" x14ac:dyDescent="0.2">
      <c r="E339" s="1751"/>
      <c r="F339" s="1751"/>
      <c r="G339" s="1751"/>
      <c r="H339" s="1751"/>
      <c r="I339" s="1751"/>
      <c r="J339" s="1751"/>
      <c r="K339" s="1751"/>
      <c r="L339" s="1751"/>
      <c r="M339" s="1751"/>
      <c r="N339" s="1751"/>
      <c r="O339" s="1751"/>
      <c r="S339" s="1938"/>
    </row>
    <row r="340" spans="5:19" x14ac:dyDescent="0.2">
      <c r="E340" s="1751"/>
      <c r="F340" s="1751"/>
      <c r="G340" s="1751"/>
      <c r="H340" s="1751"/>
      <c r="I340" s="1751"/>
      <c r="J340" s="1751"/>
      <c r="K340" s="1751"/>
      <c r="L340" s="1751"/>
      <c r="M340" s="1751"/>
      <c r="N340" s="1751"/>
      <c r="O340" s="1751"/>
      <c r="S340" s="1938"/>
    </row>
    <row r="341" spans="5:19" x14ac:dyDescent="0.2">
      <c r="E341" s="1751"/>
      <c r="F341" s="1751"/>
      <c r="G341" s="1751"/>
      <c r="H341" s="1751"/>
      <c r="I341" s="1751"/>
      <c r="J341" s="1751"/>
      <c r="K341" s="1751"/>
      <c r="L341" s="1751"/>
      <c r="M341" s="1751"/>
      <c r="N341" s="1751"/>
      <c r="O341" s="1751"/>
      <c r="S341" s="1938"/>
    </row>
    <row r="342" spans="5:19" x14ac:dyDescent="0.2">
      <c r="E342" s="1751"/>
      <c r="F342" s="1751"/>
      <c r="G342" s="1751"/>
      <c r="H342" s="1751"/>
      <c r="I342" s="1751"/>
      <c r="J342" s="1751"/>
      <c r="K342" s="1751"/>
      <c r="L342" s="1751"/>
      <c r="M342" s="1751"/>
      <c r="N342" s="1751"/>
      <c r="O342" s="1751"/>
      <c r="S342" s="1938"/>
    </row>
    <row r="343" spans="5:19" x14ac:dyDescent="0.2">
      <c r="E343" s="1751"/>
      <c r="F343" s="1751"/>
      <c r="G343" s="1751"/>
      <c r="H343" s="1751"/>
      <c r="I343" s="1751"/>
      <c r="J343" s="1751"/>
      <c r="K343" s="1751"/>
      <c r="L343" s="1751"/>
      <c r="M343" s="1751"/>
      <c r="N343" s="1751"/>
      <c r="O343" s="1751"/>
      <c r="S343" s="1938"/>
    </row>
    <row r="344" spans="5:19" x14ac:dyDescent="0.2">
      <c r="E344" s="1751"/>
      <c r="F344" s="1751"/>
      <c r="G344" s="1751"/>
      <c r="H344" s="1751"/>
      <c r="I344" s="1751"/>
      <c r="J344" s="1751"/>
      <c r="K344" s="1751"/>
      <c r="L344" s="1751"/>
      <c r="M344" s="1751"/>
      <c r="N344" s="1751"/>
      <c r="O344" s="1751"/>
      <c r="S344" s="1938"/>
    </row>
    <row r="345" spans="5:19" x14ac:dyDescent="0.2">
      <c r="E345" s="1751"/>
      <c r="F345" s="1751"/>
      <c r="G345" s="1751"/>
      <c r="H345" s="1751"/>
      <c r="I345" s="1751"/>
      <c r="J345" s="1751"/>
      <c r="K345" s="1751"/>
      <c r="L345" s="1751"/>
      <c r="M345" s="1751"/>
      <c r="N345" s="1751"/>
      <c r="O345" s="1751"/>
      <c r="S345" s="1938"/>
    </row>
    <row r="346" spans="5:19" x14ac:dyDescent="0.2">
      <c r="E346" s="1751"/>
      <c r="F346" s="1751"/>
      <c r="G346" s="1751"/>
      <c r="H346" s="1751"/>
      <c r="I346" s="1751"/>
      <c r="J346" s="1751"/>
      <c r="K346" s="1751"/>
      <c r="L346" s="1751"/>
      <c r="M346" s="1751"/>
      <c r="N346" s="1751"/>
      <c r="O346" s="1751"/>
      <c r="S346" s="1938"/>
    </row>
    <row r="347" spans="5:19" x14ac:dyDescent="0.2">
      <c r="E347" s="1751"/>
      <c r="F347" s="1751"/>
      <c r="G347" s="1751"/>
      <c r="H347" s="1751"/>
      <c r="I347" s="1751"/>
      <c r="J347" s="1751"/>
      <c r="K347" s="1751"/>
      <c r="L347" s="1751"/>
      <c r="M347" s="1751"/>
      <c r="N347" s="1751"/>
      <c r="O347" s="1751"/>
      <c r="S347" s="1938"/>
    </row>
    <row r="348" spans="5:19" x14ac:dyDescent="0.2">
      <c r="E348" s="1751"/>
      <c r="F348" s="1751"/>
      <c r="G348" s="1751"/>
      <c r="H348" s="1751"/>
      <c r="I348" s="1751"/>
      <c r="J348" s="1751"/>
      <c r="K348" s="1751"/>
      <c r="L348" s="1751"/>
      <c r="M348" s="1751"/>
      <c r="N348" s="1751"/>
      <c r="O348" s="1751"/>
      <c r="S348" s="1938"/>
    </row>
    <row r="349" spans="5:19" x14ac:dyDescent="0.2">
      <c r="E349" s="1751"/>
      <c r="F349" s="1751"/>
      <c r="G349" s="1751"/>
      <c r="H349" s="1751"/>
      <c r="I349" s="1751"/>
      <c r="J349" s="1751"/>
      <c r="K349" s="1751"/>
      <c r="L349" s="1751"/>
      <c r="M349" s="1751"/>
      <c r="N349" s="1751"/>
      <c r="O349" s="1751"/>
      <c r="S349" s="1938"/>
    </row>
    <row r="350" spans="5:19" x14ac:dyDescent="0.2">
      <c r="E350" s="1751"/>
      <c r="F350" s="1751"/>
      <c r="G350" s="1751"/>
      <c r="H350" s="1751"/>
      <c r="I350" s="1751"/>
      <c r="J350" s="1751"/>
      <c r="K350" s="1751"/>
      <c r="L350" s="1751"/>
      <c r="M350" s="1751"/>
      <c r="N350" s="1751"/>
      <c r="O350" s="1751"/>
      <c r="S350" s="1938"/>
    </row>
    <row r="351" spans="5:19" x14ac:dyDescent="0.2">
      <c r="E351" s="1751"/>
      <c r="F351" s="1751"/>
      <c r="G351" s="1751"/>
      <c r="H351" s="1751"/>
      <c r="I351" s="1751"/>
      <c r="J351" s="1751"/>
      <c r="K351" s="1751"/>
      <c r="L351" s="1751"/>
      <c r="M351" s="1751"/>
      <c r="N351" s="1751"/>
      <c r="O351" s="1751"/>
      <c r="S351" s="1938"/>
    </row>
    <row r="352" spans="5:19" x14ac:dyDescent="0.2">
      <c r="E352" s="1751"/>
      <c r="F352" s="1751"/>
      <c r="G352" s="1751"/>
      <c r="H352" s="1751"/>
      <c r="I352" s="1751"/>
      <c r="J352" s="1751"/>
      <c r="K352" s="1751"/>
      <c r="L352" s="1751"/>
      <c r="M352" s="1751"/>
      <c r="N352" s="1751"/>
      <c r="O352" s="1751"/>
      <c r="S352" s="1938"/>
    </row>
    <row r="353" spans="5:19" x14ac:dyDescent="0.2">
      <c r="E353" s="1751"/>
      <c r="F353" s="1751"/>
      <c r="G353" s="1751"/>
      <c r="H353" s="1751"/>
      <c r="I353" s="1751"/>
      <c r="J353" s="1751"/>
      <c r="K353" s="1751"/>
      <c r="L353" s="1751"/>
      <c r="M353" s="1751"/>
      <c r="N353" s="1751"/>
      <c r="O353" s="1751"/>
      <c r="S353" s="1938"/>
    </row>
    <row r="354" spans="5:19" x14ac:dyDescent="0.2">
      <c r="E354" s="1751"/>
      <c r="F354" s="1751"/>
      <c r="G354" s="1751"/>
      <c r="H354" s="1751"/>
      <c r="I354" s="1751"/>
      <c r="J354" s="1751"/>
      <c r="K354" s="1751"/>
      <c r="L354" s="1751"/>
      <c r="M354" s="1751"/>
      <c r="N354" s="1751"/>
      <c r="O354" s="1751"/>
      <c r="S354" s="1938"/>
    </row>
    <row r="355" spans="5:19" x14ac:dyDescent="0.2">
      <c r="E355" s="1751"/>
      <c r="F355" s="1751"/>
      <c r="G355" s="1751"/>
      <c r="H355" s="1751"/>
      <c r="I355" s="1751"/>
      <c r="J355" s="1751"/>
      <c r="K355" s="1751"/>
      <c r="L355" s="1751"/>
      <c r="M355" s="1751"/>
      <c r="N355" s="1751"/>
      <c r="O355" s="1751"/>
      <c r="S355" s="1938"/>
    </row>
    <row r="356" spans="5:19" x14ac:dyDescent="0.2">
      <c r="E356" s="1751"/>
      <c r="F356" s="1751"/>
      <c r="G356" s="1751"/>
      <c r="H356" s="1751"/>
      <c r="I356" s="1751"/>
      <c r="J356" s="1751"/>
      <c r="K356" s="1751"/>
      <c r="L356" s="1751"/>
      <c r="M356" s="1751"/>
      <c r="N356" s="1751"/>
      <c r="O356" s="1751"/>
      <c r="S356" s="1938"/>
    </row>
    <row r="357" spans="5:19" x14ac:dyDescent="0.2">
      <c r="E357" s="1751"/>
      <c r="F357" s="1751"/>
      <c r="G357" s="1751"/>
      <c r="H357" s="1751"/>
      <c r="I357" s="1751"/>
      <c r="J357" s="1751"/>
      <c r="K357" s="1751"/>
      <c r="L357" s="1751"/>
      <c r="M357" s="1751"/>
      <c r="N357" s="1751"/>
      <c r="O357" s="1751"/>
      <c r="S357" s="1938"/>
    </row>
    <row r="358" spans="5:19" x14ac:dyDescent="0.2">
      <c r="E358" s="1751"/>
      <c r="F358" s="1751"/>
      <c r="G358" s="1751"/>
      <c r="H358" s="1751"/>
      <c r="I358" s="1751"/>
      <c r="J358" s="1751"/>
      <c r="K358" s="1751"/>
      <c r="L358" s="1751"/>
      <c r="M358" s="1751"/>
      <c r="N358" s="1751"/>
      <c r="O358" s="1751"/>
      <c r="S358" s="1938"/>
    </row>
    <row r="359" spans="5:19" x14ac:dyDescent="0.2">
      <c r="E359" s="1751"/>
      <c r="F359" s="1751"/>
      <c r="G359" s="1751"/>
      <c r="H359" s="1751"/>
      <c r="I359" s="1751"/>
      <c r="J359" s="1751"/>
      <c r="K359" s="1751"/>
      <c r="L359" s="1751"/>
      <c r="M359" s="1751"/>
      <c r="N359" s="1751"/>
      <c r="O359" s="1751"/>
      <c r="S359" s="1938"/>
    </row>
    <row r="360" spans="5:19" x14ac:dyDescent="0.2">
      <c r="E360" s="1751"/>
      <c r="F360" s="1751"/>
      <c r="G360" s="1751"/>
      <c r="H360" s="1751"/>
      <c r="I360" s="1751"/>
      <c r="J360" s="1751"/>
      <c r="K360" s="1751"/>
      <c r="L360" s="1751"/>
      <c r="M360" s="1751"/>
      <c r="N360" s="1751"/>
      <c r="O360" s="1751"/>
      <c r="S360" s="1938"/>
    </row>
    <row r="361" spans="5:19" x14ac:dyDescent="0.2">
      <c r="E361" s="1751"/>
      <c r="F361" s="1751"/>
      <c r="G361" s="1751"/>
      <c r="H361" s="1751"/>
      <c r="I361" s="1751"/>
      <c r="J361" s="1751"/>
      <c r="K361" s="1751"/>
      <c r="L361" s="1751"/>
      <c r="M361" s="1751"/>
      <c r="N361" s="1751"/>
      <c r="O361" s="1751"/>
      <c r="S361" s="1938"/>
    </row>
    <row r="362" spans="5:19" x14ac:dyDescent="0.2">
      <c r="E362" s="1751"/>
      <c r="F362" s="1751"/>
      <c r="G362" s="1751"/>
      <c r="H362" s="1751"/>
      <c r="I362" s="1751"/>
      <c r="J362" s="1751"/>
      <c r="K362" s="1751"/>
      <c r="L362" s="1751"/>
      <c r="M362" s="1751"/>
      <c r="N362" s="1751"/>
      <c r="O362" s="1751"/>
      <c r="S362" s="1938"/>
    </row>
    <row r="363" spans="5:19" x14ac:dyDescent="0.2">
      <c r="E363" s="1751"/>
      <c r="F363" s="1751"/>
      <c r="G363" s="1751"/>
      <c r="H363" s="1751"/>
      <c r="I363" s="1751"/>
      <c r="J363" s="1751"/>
      <c r="K363" s="1751"/>
      <c r="L363" s="1751"/>
      <c r="M363" s="1751"/>
      <c r="N363" s="1751"/>
      <c r="O363" s="1751"/>
      <c r="S363" s="1938"/>
    </row>
    <row r="364" spans="5:19" x14ac:dyDescent="0.2">
      <c r="E364" s="1751"/>
      <c r="F364" s="1751"/>
      <c r="G364" s="1751"/>
      <c r="H364" s="1751"/>
      <c r="I364" s="1751"/>
      <c r="J364" s="1751"/>
      <c r="K364" s="1751"/>
      <c r="L364" s="1751"/>
      <c r="M364" s="1751"/>
      <c r="N364" s="1751"/>
      <c r="O364" s="1751"/>
      <c r="S364" s="1938"/>
    </row>
    <row r="365" spans="5:19" x14ac:dyDescent="0.2">
      <c r="E365" s="1751"/>
      <c r="F365" s="1751"/>
      <c r="G365" s="1751"/>
      <c r="H365" s="1751"/>
      <c r="I365" s="1751"/>
      <c r="J365" s="1751"/>
      <c r="K365" s="1751"/>
      <c r="L365" s="1751"/>
      <c r="M365" s="1751"/>
      <c r="N365" s="1751"/>
      <c r="O365" s="1751"/>
      <c r="S365" s="1938"/>
    </row>
    <row r="366" spans="5:19" x14ac:dyDescent="0.2">
      <c r="E366" s="1751"/>
      <c r="F366" s="1751"/>
      <c r="G366" s="1751"/>
      <c r="H366" s="1751"/>
      <c r="I366" s="1751"/>
      <c r="J366" s="1751"/>
      <c r="K366" s="1751"/>
      <c r="L366" s="1751"/>
      <c r="M366" s="1751"/>
      <c r="N366" s="1751"/>
      <c r="O366" s="1751"/>
      <c r="S366" s="1938"/>
    </row>
    <row r="367" spans="5:19" x14ac:dyDescent="0.2">
      <c r="E367" s="1751"/>
      <c r="F367" s="1751"/>
      <c r="G367" s="1751"/>
      <c r="H367" s="1751"/>
      <c r="I367" s="1751"/>
      <c r="J367" s="1751"/>
      <c r="K367" s="1751"/>
      <c r="L367" s="1751"/>
      <c r="M367" s="1751"/>
      <c r="N367" s="1751"/>
      <c r="O367" s="1751"/>
      <c r="S367" s="1938"/>
    </row>
    <row r="368" spans="5:19" x14ac:dyDescent="0.2">
      <c r="E368" s="1751"/>
      <c r="F368" s="1751"/>
      <c r="G368" s="1751"/>
      <c r="H368" s="1751"/>
      <c r="I368" s="1751"/>
      <c r="J368" s="1751"/>
      <c r="K368" s="1751"/>
      <c r="L368" s="1751"/>
      <c r="M368" s="1751"/>
      <c r="N368" s="1751"/>
      <c r="O368" s="1751"/>
      <c r="S368" s="1938"/>
    </row>
    <row r="369" spans="5:19" x14ac:dyDescent="0.2">
      <c r="E369" s="1751"/>
      <c r="F369" s="1751"/>
      <c r="G369" s="1751"/>
      <c r="H369" s="1751"/>
      <c r="I369" s="1751"/>
      <c r="J369" s="1751"/>
      <c r="K369" s="1751"/>
      <c r="L369" s="1751"/>
      <c r="M369" s="1751"/>
      <c r="N369" s="1751"/>
      <c r="O369" s="1751"/>
      <c r="S369" s="1938"/>
    </row>
    <row r="370" spans="5:19" x14ac:dyDescent="0.2">
      <c r="E370" s="1751"/>
      <c r="F370" s="1751"/>
      <c r="G370" s="1751"/>
      <c r="H370" s="1751"/>
      <c r="I370" s="1751"/>
      <c r="J370" s="1751"/>
      <c r="K370" s="1751"/>
      <c r="L370" s="1751"/>
      <c r="M370" s="1751"/>
      <c r="N370" s="1751"/>
      <c r="O370" s="1751"/>
      <c r="S370" s="1938"/>
    </row>
    <row r="371" spans="5:19" x14ac:dyDescent="0.2">
      <c r="E371" s="1751"/>
      <c r="F371" s="1751"/>
      <c r="G371" s="1751"/>
      <c r="H371" s="1751"/>
      <c r="I371" s="1751"/>
      <c r="J371" s="1751"/>
      <c r="K371" s="1751"/>
      <c r="L371" s="1751"/>
      <c r="M371" s="1751"/>
      <c r="N371" s="1751"/>
      <c r="O371" s="1751"/>
      <c r="S371" s="1938"/>
    </row>
    <row r="372" spans="5:19" x14ac:dyDescent="0.2">
      <c r="E372" s="1751"/>
      <c r="F372" s="1751"/>
      <c r="G372" s="1751"/>
      <c r="H372" s="1751"/>
      <c r="I372" s="1751"/>
      <c r="J372" s="1751"/>
      <c r="K372" s="1751"/>
      <c r="L372" s="1751"/>
      <c r="M372" s="1751"/>
      <c r="N372" s="1751"/>
      <c r="O372" s="1751"/>
      <c r="S372" s="1938"/>
    </row>
    <row r="373" spans="5:19" x14ac:dyDescent="0.2">
      <c r="E373" s="1751"/>
      <c r="F373" s="1751"/>
      <c r="G373" s="1751"/>
      <c r="H373" s="1751"/>
      <c r="I373" s="1751"/>
      <c r="J373" s="1751"/>
      <c r="K373" s="1751"/>
      <c r="L373" s="1751"/>
      <c r="M373" s="1751"/>
      <c r="N373" s="1751"/>
      <c r="O373" s="1751"/>
      <c r="S373" s="1938"/>
    </row>
    <row r="374" spans="5:19" x14ac:dyDescent="0.2">
      <c r="E374" s="1751"/>
      <c r="F374" s="1751"/>
      <c r="G374" s="1751"/>
      <c r="H374" s="1751"/>
      <c r="I374" s="1751"/>
      <c r="J374" s="1751"/>
      <c r="K374" s="1751"/>
      <c r="L374" s="1751"/>
      <c r="M374" s="1751"/>
      <c r="N374" s="1751"/>
      <c r="O374" s="1751"/>
      <c r="S374" s="1938"/>
    </row>
    <row r="375" spans="5:19" x14ac:dyDescent="0.2">
      <c r="E375" s="1751"/>
      <c r="F375" s="1751"/>
      <c r="G375" s="1751"/>
      <c r="H375" s="1751"/>
      <c r="I375" s="1751"/>
      <c r="J375" s="1751"/>
      <c r="K375" s="1751"/>
      <c r="L375" s="1751"/>
      <c r="M375" s="1751"/>
      <c r="N375" s="1751"/>
      <c r="O375" s="1751"/>
      <c r="S375" s="1938"/>
    </row>
    <row r="376" spans="5:19" x14ac:dyDescent="0.2">
      <c r="E376" s="1751"/>
      <c r="F376" s="1751"/>
      <c r="G376" s="1751"/>
      <c r="H376" s="1751"/>
      <c r="I376" s="1751"/>
      <c r="J376" s="1751"/>
      <c r="K376" s="1751"/>
      <c r="L376" s="1751"/>
      <c r="M376" s="1751"/>
      <c r="N376" s="1751"/>
      <c r="O376" s="1751"/>
      <c r="S376" s="1938"/>
    </row>
    <row r="377" spans="5:19" x14ac:dyDescent="0.2">
      <c r="E377" s="1751"/>
      <c r="F377" s="1751"/>
      <c r="G377" s="1751"/>
      <c r="H377" s="1751"/>
      <c r="I377" s="1751"/>
      <c r="J377" s="1751"/>
      <c r="K377" s="1751"/>
      <c r="L377" s="1751"/>
      <c r="M377" s="1751"/>
      <c r="N377" s="1751"/>
      <c r="O377" s="1751"/>
      <c r="S377" s="1938"/>
    </row>
    <row r="378" spans="5:19" x14ac:dyDescent="0.2">
      <c r="E378" s="1751"/>
      <c r="F378" s="1751"/>
      <c r="G378" s="1751"/>
      <c r="H378" s="1751"/>
      <c r="I378" s="1751"/>
      <c r="J378" s="1751"/>
      <c r="K378" s="1751"/>
      <c r="L378" s="1751"/>
      <c r="M378" s="1751"/>
      <c r="N378" s="1751"/>
      <c r="O378" s="1751"/>
      <c r="S378" s="1938"/>
    </row>
    <row r="379" spans="5:19" x14ac:dyDescent="0.2">
      <c r="E379" s="1751"/>
      <c r="F379" s="1751"/>
      <c r="G379" s="1751"/>
      <c r="H379" s="1751"/>
      <c r="I379" s="1751"/>
      <c r="J379" s="1751"/>
      <c r="K379" s="1751"/>
      <c r="L379" s="1751"/>
      <c r="M379" s="1751"/>
      <c r="N379" s="1751"/>
      <c r="O379" s="1751"/>
      <c r="S379" s="1938"/>
    </row>
    <row r="380" spans="5:19" x14ac:dyDescent="0.2">
      <c r="E380" s="1751"/>
      <c r="F380" s="1751"/>
      <c r="G380" s="1751"/>
      <c r="H380" s="1751"/>
      <c r="I380" s="1751"/>
      <c r="J380" s="1751"/>
      <c r="K380" s="1751"/>
      <c r="L380" s="1751"/>
      <c r="M380" s="1751"/>
      <c r="N380" s="1751"/>
      <c r="O380" s="1751"/>
      <c r="S380" s="1938"/>
    </row>
    <row r="381" spans="5:19" x14ac:dyDescent="0.2">
      <c r="E381" s="1751"/>
      <c r="F381" s="1751"/>
      <c r="G381" s="1751"/>
      <c r="H381" s="1751"/>
      <c r="I381" s="1751"/>
      <c r="J381" s="1751"/>
      <c r="K381" s="1751"/>
      <c r="L381" s="1751"/>
      <c r="M381" s="1751"/>
      <c r="N381" s="1751"/>
      <c r="O381" s="1751"/>
      <c r="S381" s="1938"/>
    </row>
    <row r="382" spans="5:19" x14ac:dyDescent="0.2">
      <c r="E382" s="1751"/>
      <c r="F382" s="1751"/>
      <c r="G382" s="1751"/>
      <c r="H382" s="1751"/>
      <c r="I382" s="1751"/>
      <c r="J382" s="1751"/>
      <c r="K382" s="1751"/>
      <c r="L382" s="1751"/>
      <c r="M382" s="1751"/>
      <c r="N382" s="1751"/>
      <c r="O382" s="1751"/>
      <c r="S382" s="1938"/>
    </row>
    <row r="383" spans="5:19" x14ac:dyDescent="0.2">
      <c r="E383" s="1751"/>
      <c r="F383" s="1751"/>
      <c r="G383" s="1751"/>
      <c r="H383" s="1751"/>
      <c r="I383" s="1751"/>
      <c r="J383" s="1751"/>
      <c r="K383" s="1751"/>
      <c r="L383" s="1751"/>
      <c r="M383" s="1751"/>
      <c r="N383" s="1751"/>
      <c r="O383" s="1751"/>
      <c r="S383" s="1938"/>
    </row>
    <row r="384" spans="5:19" x14ac:dyDescent="0.2">
      <c r="E384" s="1751"/>
      <c r="F384" s="1751"/>
      <c r="G384" s="1751"/>
      <c r="H384" s="1751"/>
      <c r="I384" s="1751"/>
      <c r="J384" s="1751"/>
      <c r="K384" s="1751"/>
      <c r="L384" s="1751"/>
      <c r="M384" s="1751"/>
      <c r="N384" s="1751"/>
      <c r="O384" s="1751"/>
      <c r="S384" s="1938"/>
    </row>
    <row r="385" spans="5:19" x14ac:dyDescent="0.2">
      <c r="E385" s="1751"/>
      <c r="F385" s="1751"/>
      <c r="G385" s="1751"/>
      <c r="H385" s="1751"/>
      <c r="I385" s="1751"/>
      <c r="J385" s="1751"/>
      <c r="K385" s="1751"/>
      <c r="L385" s="1751"/>
      <c r="M385" s="1751"/>
      <c r="N385" s="1751"/>
      <c r="O385" s="1751"/>
      <c r="S385" s="1938"/>
    </row>
    <row r="386" spans="5:19" x14ac:dyDescent="0.2">
      <c r="E386" s="1751"/>
      <c r="F386" s="1751"/>
      <c r="G386" s="1751"/>
      <c r="H386" s="1751"/>
      <c r="I386" s="1751"/>
      <c r="J386" s="1751"/>
      <c r="K386" s="1751"/>
      <c r="L386" s="1751"/>
      <c r="M386" s="1751"/>
      <c r="N386" s="1751"/>
      <c r="O386" s="1751"/>
      <c r="S386" s="1938"/>
    </row>
    <row r="387" spans="5:19" x14ac:dyDescent="0.2">
      <c r="E387" s="1751"/>
      <c r="F387" s="1751"/>
      <c r="G387" s="1751"/>
      <c r="H387" s="1751"/>
      <c r="I387" s="1751"/>
      <c r="J387" s="1751"/>
      <c r="K387" s="1751"/>
      <c r="L387" s="1751"/>
      <c r="M387" s="1751"/>
      <c r="N387" s="1751"/>
      <c r="O387" s="1751"/>
      <c r="S387" s="1938"/>
    </row>
    <row r="388" spans="5:19" x14ac:dyDescent="0.2">
      <c r="E388" s="1751"/>
      <c r="F388" s="1751"/>
      <c r="G388" s="1751"/>
      <c r="H388" s="1751"/>
      <c r="I388" s="1751"/>
      <c r="J388" s="1751"/>
      <c r="K388" s="1751"/>
      <c r="L388" s="1751"/>
      <c r="M388" s="1751"/>
      <c r="N388" s="1751"/>
      <c r="O388" s="1751"/>
      <c r="S388" s="1938"/>
    </row>
    <row r="389" spans="5:19" x14ac:dyDescent="0.2">
      <c r="E389" s="1751"/>
      <c r="F389" s="1751"/>
      <c r="G389" s="1751"/>
      <c r="H389" s="1751"/>
      <c r="I389" s="1751"/>
      <c r="J389" s="1751"/>
      <c r="K389" s="1751"/>
      <c r="L389" s="1751"/>
      <c r="M389" s="1751"/>
      <c r="N389" s="1751"/>
      <c r="O389" s="1751"/>
      <c r="S389" s="1938"/>
    </row>
    <row r="390" spans="5:19" x14ac:dyDescent="0.2">
      <c r="E390" s="1751"/>
      <c r="F390" s="1751"/>
      <c r="G390" s="1751"/>
      <c r="H390" s="1751"/>
      <c r="I390" s="1751"/>
      <c r="J390" s="1751"/>
      <c r="K390" s="1751"/>
      <c r="L390" s="1751"/>
      <c r="M390" s="1751"/>
      <c r="N390" s="1751"/>
      <c r="O390" s="1751"/>
      <c r="S390" s="1938"/>
    </row>
    <row r="391" spans="5:19" x14ac:dyDescent="0.2">
      <c r="E391" s="1751"/>
      <c r="F391" s="1751"/>
      <c r="G391" s="1751"/>
      <c r="H391" s="1751"/>
      <c r="I391" s="1751"/>
      <c r="J391" s="1751"/>
      <c r="K391" s="1751"/>
      <c r="L391" s="1751"/>
      <c r="M391" s="1751"/>
      <c r="N391" s="1751"/>
      <c r="O391" s="1751"/>
      <c r="S391" s="1938"/>
    </row>
    <row r="392" spans="5:19" x14ac:dyDescent="0.2">
      <c r="E392" s="1751"/>
      <c r="F392" s="1751"/>
      <c r="G392" s="1751"/>
      <c r="H392" s="1751"/>
      <c r="I392" s="1751"/>
      <c r="J392" s="1751"/>
      <c r="K392" s="1751"/>
      <c r="L392" s="1751"/>
      <c r="M392" s="1751"/>
      <c r="N392" s="1751"/>
      <c r="O392" s="1751"/>
      <c r="S392" s="1938"/>
    </row>
    <row r="393" spans="5:19" x14ac:dyDescent="0.2">
      <c r="E393" s="1751"/>
      <c r="F393" s="1751"/>
      <c r="G393" s="1751"/>
      <c r="H393" s="1751"/>
      <c r="I393" s="1751"/>
      <c r="J393" s="1751"/>
      <c r="K393" s="1751"/>
      <c r="L393" s="1751"/>
      <c r="M393" s="1751"/>
      <c r="N393" s="1751"/>
      <c r="O393" s="1751"/>
      <c r="S393" s="1938"/>
    </row>
    <row r="394" spans="5:19" x14ac:dyDescent="0.2">
      <c r="E394" s="1751"/>
      <c r="F394" s="1751"/>
      <c r="G394" s="1751"/>
      <c r="H394" s="1751"/>
      <c r="I394" s="1751"/>
      <c r="J394" s="1751"/>
      <c r="K394" s="1751"/>
      <c r="L394" s="1751"/>
      <c r="M394" s="1751"/>
      <c r="N394" s="1751"/>
      <c r="O394" s="1751"/>
      <c r="S394" s="1938"/>
    </row>
    <row r="395" spans="5:19" x14ac:dyDescent="0.2">
      <c r="E395" s="1751"/>
      <c r="F395" s="1751"/>
      <c r="G395" s="1751"/>
      <c r="H395" s="1751"/>
      <c r="I395" s="1751"/>
      <c r="J395" s="1751"/>
      <c r="K395" s="1751"/>
      <c r="L395" s="1751"/>
      <c r="M395" s="1751"/>
      <c r="N395" s="1751"/>
      <c r="O395" s="1751"/>
      <c r="S395" s="1938"/>
    </row>
    <row r="396" spans="5:19" x14ac:dyDescent="0.2">
      <c r="E396" s="1751"/>
      <c r="F396" s="1751"/>
      <c r="G396" s="1751"/>
      <c r="H396" s="1751"/>
      <c r="I396" s="1751"/>
      <c r="J396" s="1751"/>
      <c r="K396" s="1751"/>
      <c r="L396" s="1751"/>
      <c r="M396" s="1751"/>
      <c r="N396" s="1751"/>
      <c r="O396" s="1751"/>
      <c r="S396" s="1938"/>
    </row>
    <row r="397" spans="5:19" x14ac:dyDescent="0.2">
      <c r="E397" s="1751"/>
      <c r="F397" s="1751"/>
      <c r="G397" s="1751"/>
      <c r="H397" s="1751"/>
      <c r="I397" s="1751"/>
      <c r="J397" s="1751"/>
      <c r="K397" s="1751"/>
      <c r="L397" s="1751"/>
      <c r="M397" s="1751"/>
      <c r="N397" s="1751"/>
      <c r="O397" s="1751"/>
      <c r="S397" s="1938"/>
    </row>
    <row r="398" spans="5:19" x14ac:dyDescent="0.2">
      <c r="E398" s="1751"/>
      <c r="F398" s="1751"/>
      <c r="G398" s="1751"/>
      <c r="H398" s="1751"/>
      <c r="I398" s="1751"/>
      <c r="J398" s="1751"/>
      <c r="K398" s="1751"/>
      <c r="L398" s="1751"/>
      <c r="M398" s="1751"/>
      <c r="N398" s="1751"/>
      <c r="O398" s="1751"/>
      <c r="S398" s="1938"/>
    </row>
    <row r="399" spans="5:19" x14ac:dyDescent="0.2">
      <c r="E399" s="1751"/>
      <c r="F399" s="1751"/>
      <c r="G399" s="1751"/>
      <c r="H399" s="1751"/>
      <c r="I399" s="1751"/>
      <c r="J399" s="1751"/>
      <c r="K399" s="1751"/>
      <c r="L399" s="1751"/>
      <c r="M399" s="1751"/>
      <c r="N399" s="1751"/>
      <c r="O399" s="1751"/>
      <c r="S399" s="1938"/>
    </row>
    <row r="400" spans="5:19" x14ac:dyDescent="0.2">
      <c r="E400" s="1751"/>
      <c r="F400" s="1751"/>
      <c r="G400" s="1751"/>
      <c r="H400" s="1751"/>
      <c r="I400" s="1751"/>
      <c r="J400" s="1751"/>
      <c r="K400" s="1751"/>
      <c r="L400" s="1751"/>
      <c r="M400" s="1751"/>
      <c r="N400" s="1751"/>
      <c r="O400" s="1751"/>
      <c r="S400" s="1938"/>
    </row>
    <row r="401" spans="5:19" x14ac:dyDescent="0.2">
      <c r="E401" s="1751"/>
      <c r="F401" s="1751"/>
      <c r="G401" s="1751"/>
      <c r="H401" s="1751"/>
      <c r="I401" s="1751"/>
      <c r="J401" s="1751"/>
      <c r="K401" s="1751"/>
      <c r="L401" s="1751"/>
      <c r="M401" s="1751"/>
      <c r="N401" s="1751"/>
      <c r="O401" s="1751"/>
      <c r="S401" s="1938"/>
    </row>
    <row r="402" spans="5:19" x14ac:dyDescent="0.2">
      <c r="E402" s="1751"/>
      <c r="F402" s="1751"/>
      <c r="G402" s="1751"/>
      <c r="H402" s="1751"/>
      <c r="I402" s="1751"/>
      <c r="J402" s="1751"/>
      <c r="K402" s="1751"/>
      <c r="L402" s="1751"/>
      <c r="M402" s="1751"/>
      <c r="N402" s="1751"/>
      <c r="O402" s="1751"/>
      <c r="S402" s="1938"/>
    </row>
    <row r="403" spans="5:19" x14ac:dyDescent="0.2">
      <c r="E403" s="1751"/>
      <c r="F403" s="1751"/>
      <c r="G403" s="1751"/>
      <c r="H403" s="1751"/>
      <c r="I403" s="1751"/>
      <c r="J403" s="1751"/>
      <c r="K403" s="1751"/>
      <c r="L403" s="1751"/>
      <c r="M403" s="1751"/>
      <c r="N403" s="1751"/>
      <c r="O403" s="1751"/>
      <c r="S403" s="1938"/>
    </row>
    <row r="404" spans="5:19" x14ac:dyDescent="0.2">
      <c r="E404" s="1751"/>
      <c r="F404" s="1751"/>
      <c r="G404" s="1751"/>
      <c r="H404" s="1751"/>
      <c r="I404" s="1751"/>
      <c r="J404" s="1751"/>
      <c r="K404" s="1751"/>
      <c r="L404" s="1751"/>
      <c r="M404" s="1751"/>
      <c r="N404" s="1751"/>
      <c r="O404" s="1751"/>
      <c r="S404" s="1938"/>
    </row>
    <row r="405" spans="5:19" x14ac:dyDescent="0.2">
      <c r="E405" s="1751"/>
      <c r="F405" s="1751"/>
      <c r="G405" s="1751"/>
      <c r="H405" s="1751"/>
      <c r="I405" s="1751"/>
      <c r="J405" s="1751"/>
      <c r="K405" s="1751"/>
      <c r="L405" s="1751"/>
      <c r="M405" s="1751"/>
      <c r="N405" s="1751"/>
      <c r="O405" s="1751"/>
      <c r="S405" s="1938"/>
    </row>
    <row r="406" spans="5:19" x14ac:dyDescent="0.2">
      <c r="E406" s="1751"/>
      <c r="F406" s="1751"/>
      <c r="G406" s="1751"/>
      <c r="H406" s="1751"/>
      <c r="I406" s="1751"/>
      <c r="J406" s="1751"/>
      <c r="K406" s="1751"/>
      <c r="L406" s="1751"/>
      <c r="M406" s="1751"/>
      <c r="N406" s="1751"/>
      <c r="O406" s="1751"/>
      <c r="S406" s="1938"/>
    </row>
    <row r="407" spans="5:19" x14ac:dyDescent="0.2">
      <c r="E407" s="1751"/>
      <c r="F407" s="1751"/>
      <c r="G407" s="1751"/>
      <c r="H407" s="1751"/>
      <c r="I407" s="1751"/>
      <c r="J407" s="1751"/>
      <c r="K407" s="1751"/>
      <c r="L407" s="1751"/>
      <c r="M407" s="1751"/>
      <c r="N407" s="1751"/>
      <c r="O407" s="1751"/>
      <c r="S407" s="1938"/>
    </row>
    <row r="408" spans="5:19" x14ac:dyDescent="0.2">
      <c r="E408" s="1751"/>
      <c r="F408" s="1751"/>
      <c r="G408" s="1751"/>
      <c r="H408" s="1751"/>
      <c r="I408" s="1751"/>
      <c r="J408" s="1751"/>
      <c r="K408" s="1751"/>
      <c r="L408" s="1751"/>
      <c r="M408" s="1751"/>
      <c r="N408" s="1751"/>
      <c r="O408" s="1751"/>
      <c r="S408" s="1938"/>
    </row>
    <row r="409" spans="5:19" x14ac:dyDescent="0.2">
      <c r="E409" s="1751"/>
      <c r="F409" s="1751"/>
      <c r="G409" s="1751"/>
      <c r="H409" s="1751"/>
      <c r="I409" s="1751"/>
      <c r="J409" s="1751"/>
      <c r="K409" s="1751"/>
      <c r="L409" s="1751"/>
      <c r="M409" s="1751"/>
      <c r="N409" s="1751"/>
      <c r="O409" s="1751"/>
      <c r="S409" s="1938"/>
    </row>
    <row r="410" spans="5:19" x14ac:dyDescent="0.2">
      <c r="E410" s="1751"/>
      <c r="F410" s="1751"/>
      <c r="G410" s="1751"/>
      <c r="H410" s="1751"/>
      <c r="I410" s="1751"/>
      <c r="J410" s="1751"/>
      <c r="K410" s="1751"/>
      <c r="L410" s="1751"/>
      <c r="M410" s="1751"/>
      <c r="N410" s="1751"/>
      <c r="O410" s="1751"/>
      <c r="S410" s="1938"/>
    </row>
    <row r="411" spans="5:19" x14ac:dyDescent="0.2">
      <c r="E411" s="1751"/>
      <c r="F411" s="1751"/>
      <c r="G411" s="1751"/>
      <c r="H411" s="1751"/>
      <c r="I411" s="1751"/>
      <c r="J411" s="1751"/>
      <c r="K411" s="1751"/>
      <c r="L411" s="1751"/>
      <c r="M411" s="1751"/>
      <c r="N411" s="1751"/>
      <c r="O411" s="1751"/>
      <c r="S411" s="1938"/>
    </row>
    <row r="412" spans="5:19" x14ac:dyDescent="0.2">
      <c r="E412" s="1751"/>
      <c r="F412" s="1751"/>
      <c r="G412" s="1751"/>
      <c r="H412" s="1751"/>
      <c r="I412" s="1751"/>
      <c r="J412" s="1751"/>
      <c r="K412" s="1751"/>
      <c r="L412" s="1751"/>
      <c r="M412" s="1751"/>
      <c r="N412" s="1751"/>
      <c r="O412" s="1751"/>
      <c r="S412" s="1938"/>
    </row>
    <row r="413" spans="5:19" x14ac:dyDescent="0.2">
      <c r="E413" s="1751"/>
      <c r="F413" s="1751"/>
      <c r="G413" s="1751"/>
      <c r="H413" s="1751"/>
      <c r="I413" s="1751"/>
      <c r="J413" s="1751"/>
      <c r="K413" s="1751"/>
      <c r="L413" s="1751"/>
      <c r="M413" s="1751"/>
      <c r="N413" s="1751"/>
      <c r="O413" s="1751"/>
      <c r="S413" s="1938"/>
    </row>
    <row r="414" spans="5:19" x14ac:dyDescent="0.2">
      <c r="E414" s="1751"/>
      <c r="F414" s="1751"/>
      <c r="G414" s="1751"/>
      <c r="H414" s="1751"/>
      <c r="I414" s="1751"/>
      <c r="J414" s="1751"/>
      <c r="K414" s="1751"/>
      <c r="L414" s="1751"/>
      <c r="M414" s="1751"/>
      <c r="N414" s="1751"/>
      <c r="O414" s="1751"/>
      <c r="S414" s="1938"/>
    </row>
    <row r="415" spans="5:19" x14ac:dyDescent="0.2">
      <c r="E415" s="1751"/>
      <c r="F415" s="1751"/>
      <c r="G415" s="1751"/>
      <c r="H415" s="1751"/>
      <c r="I415" s="1751"/>
      <c r="J415" s="1751"/>
      <c r="K415" s="1751"/>
      <c r="L415" s="1751"/>
      <c r="M415" s="1751"/>
      <c r="N415" s="1751"/>
      <c r="O415" s="1751"/>
      <c r="S415" s="1938"/>
    </row>
    <row r="416" spans="5:19" x14ac:dyDescent="0.2">
      <c r="E416" s="1751"/>
      <c r="F416" s="1751"/>
      <c r="G416" s="1751"/>
      <c r="H416" s="1751"/>
      <c r="I416" s="1751"/>
      <c r="J416" s="1751"/>
      <c r="K416" s="1751"/>
      <c r="L416" s="1751"/>
      <c r="M416" s="1751"/>
      <c r="N416" s="1751"/>
      <c r="O416" s="1751"/>
      <c r="S416" s="1938"/>
    </row>
    <row r="417" spans="5:19" x14ac:dyDescent="0.2">
      <c r="E417" s="1751"/>
      <c r="F417" s="1751"/>
      <c r="G417" s="1751"/>
      <c r="H417" s="1751"/>
      <c r="I417" s="1751"/>
      <c r="J417" s="1751"/>
      <c r="K417" s="1751"/>
      <c r="L417" s="1751"/>
      <c r="M417" s="1751"/>
      <c r="N417" s="1751"/>
      <c r="O417" s="1751"/>
      <c r="S417" s="1938"/>
    </row>
    <row r="418" spans="5:19" x14ac:dyDescent="0.2">
      <c r="E418" s="1751"/>
      <c r="F418" s="1751"/>
      <c r="G418" s="1751"/>
      <c r="H418" s="1751"/>
      <c r="I418" s="1751"/>
      <c r="J418" s="1751"/>
      <c r="K418" s="1751"/>
      <c r="L418" s="1751"/>
      <c r="M418" s="1751"/>
      <c r="N418" s="1751"/>
      <c r="O418" s="1751"/>
      <c r="S418" s="1938"/>
    </row>
    <row r="419" spans="5:19" x14ac:dyDescent="0.2">
      <c r="E419" s="1751"/>
      <c r="F419" s="1751"/>
      <c r="G419" s="1751"/>
      <c r="H419" s="1751"/>
      <c r="I419" s="1751"/>
      <c r="J419" s="1751"/>
      <c r="K419" s="1751"/>
      <c r="L419" s="1751"/>
      <c r="M419" s="1751"/>
      <c r="N419" s="1751"/>
      <c r="O419" s="1751"/>
      <c r="S419" s="1938"/>
    </row>
    <row r="420" spans="5:19" x14ac:dyDescent="0.2">
      <c r="E420" s="1751"/>
      <c r="F420" s="1751"/>
      <c r="G420" s="1751"/>
      <c r="H420" s="1751"/>
      <c r="I420" s="1751"/>
      <c r="J420" s="1751"/>
      <c r="K420" s="1751"/>
      <c r="L420" s="1751"/>
      <c r="M420" s="1751"/>
      <c r="N420" s="1751"/>
      <c r="O420" s="1751"/>
      <c r="S420" s="1938"/>
    </row>
    <row r="421" spans="5:19" x14ac:dyDescent="0.2">
      <c r="E421" s="1751"/>
      <c r="F421" s="1751"/>
      <c r="G421" s="1751"/>
      <c r="H421" s="1751"/>
      <c r="I421" s="1751"/>
      <c r="J421" s="1751"/>
      <c r="K421" s="1751"/>
      <c r="L421" s="1751"/>
      <c r="M421" s="1751"/>
      <c r="N421" s="1751"/>
      <c r="O421" s="1751"/>
      <c r="S421" s="1938"/>
    </row>
    <row r="422" spans="5:19" x14ac:dyDescent="0.2">
      <c r="E422" s="1751"/>
      <c r="F422" s="1751"/>
      <c r="G422" s="1751"/>
      <c r="H422" s="1751"/>
      <c r="I422" s="1751"/>
      <c r="J422" s="1751"/>
      <c r="K422" s="1751"/>
      <c r="L422" s="1751"/>
      <c r="M422" s="1751"/>
      <c r="N422" s="1751"/>
      <c r="O422" s="1751"/>
      <c r="S422" s="1938"/>
    </row>
    <row r="423" spans="5:19" x14ac:dyDescent="0.2">
      <c r="E423" s="1751"/>
      <c r="F423" s="1751"/>
      <c r="G423" s="1751"/>
      <c r="H423" s="1751"/>
      <c r="I423" s="1751"/>
      <c r="J423" s="1751"/>
      <c r="K423" s="1751"/>
      <c r="L423" s="1751"/>
      <c r="M423" s="1751"/>
      <c r="N423" s="1751"/>
      <c r="O423" s="1751"/>
      <c r="S423" s="1938"/>
    </row>
    <row r="424" spans="5:19" x14ac:dyDescent="0.2">
      <c r="E424" s="1751"/>
      <c r="F424" s="1751"/>
      <c r="G424" s="1751"/>
      <c r="H424" s="1751"/>
      <c r="I424" s="1751"/>
      <c r="J424" s="1751"/>
      <c r="K424" s="1751"/>
      <c r="L424" s="1751"/>
      <c r="M424" s="1751"/>
      <c r="N424" s="1751"/>
      <c r="O424" s="1751"/>
      <c r="S424" s="1938"/>
    </row>
    <row r="425" spans="5:19" x14ac:dyDescent="0.2">
      <c r="E425" s="1751"/>
      <c r="F425" s="1751"/>
      <c r="G425" s="1751"/>
      <c r="H425" s="1751"/>
      <c r="I425" s="1751"/>
      <c r="J425" s="1751"/>
      <c r="K425" s="1751"/>
      <c r="L425" s="1751"/>
      <c r="M425" s="1751"/>
      <c r="N425" s="1751"/>
      <c r="O425" s="1751"/>
      <c r="S425" s="1938"/>
    </row>
    <row r="426" spans="5:19" x14ac:dyDescent="0.2">
      <c r="E426" s="1751"/>
      <c r="F426" s="1751"/>
      <c r="G426" s="1751"/>
      <c r="H426" s="1751"/>
      <c r="I426" s="1751"/>
      <c r="J426" s="1751"/>
      <c r="K426" s="1751"/>
      <c r="L426" s="1751"/>
      <c r="M426" s="1751"/>
      <c r="N426" s="1751"/>
      <c r="O426" s="1751"/>
      <c r="S426" s="1938"/>
    </row>
    <row r="427" spans="5:19" x14ac:dyDescent="0.2">
      <c r="E427" s="1751"/>
      <c r="F427" s="1751"/>
      <c r="G427" s="1751"/>
      <c r="H427" s="1751"/>
      <c r="I427" s="1751"/>
      <c r="J427" s="1751"/>
      <c r="K427" s="1751"/>
      <c r="L427" s="1751"/>
      <c r="M427" s="1751"/>
      <c r="N427" s="1751"/>
      <c r="O427" s="1751"/>
      <c r="S427" s="1938"/>
    </row>
    <row r="428" spans="5:19" x14ac:dyDescent="0.2">
      <c r="E428" s="1751"/>
      <c r="F428" s="1751"/>
      <c r="G428" s="1751"/>
      <c r="H428" s="1751"/>
      <c r="I428" s="1751"/>
      <c r="J428" s="1751"/>
      <c r="K428" s="1751"/>
      <c r="L428" s="1751"/>
      <c r="M428" s="1751"/>
      <c r="N428" s="1751"/>
      <c r="O428" s="1751"/>
      <c r="S428" s="1938"/>
    </row>
    <row r="429" spans="5:19" x14ac:dyDescent="0.2">
      <c r="E429" s="1751"/>
      <c r="F429" s="1751"/>
      <c r="G429" s="1751"/>
      <c r="H429" s="1751"/>
      <c r="I429" s="1751"/>
      <c r="J429" s="1751"/>
      <c r="K429" s="1751"/>
      <c r="L429" s="1751"/>
      <c r="M429" s="1751"/>
      <c r="N429" s="1751"/>
      <c r="O429" s="1751"/>
      <c r="S429" s="1938"/>
    </row>
    <row r="430" spans="5:19" x14ac:dyDescent="0.2">
      <c r="E430" s="1751"/>
      <c r="F430" s="1751"/>
      <c r="G430" s="1751"/>
      <c r="H430" s="1751"/>
      <c r="I430" s="1751"/>
      <c r="J430" s="1751"/>
      <c r="K430" s="1751"/>
      <c r="L430" s="1751"/>
      <c r="M430" s="1751"/>
      <c r="N430" s="1751"/>
      <c r="O430" s="1751"/>
      <c r="S430" s="1938"/>
    </row>
    <row r="431" spans="5:19" x14ac:dyDescent="0.2">
      <c r="E431" s="1751"/>
      <c r="F431" s="1751"/>
      <c r="G431" s="1751"/>
      <c r="H431" s="1751"/>
      <c r="I431" s="1751"/>
      <c r="J431" s="1751"/>
      <c r="K431" s="1751"/>
      <c r="L431" s="1751"/>
      <c r="M431" s="1751"/>
      <c r="N431" s="1751"/>
      <c r="O431" s="1751"/>
      <c r="S431" s="1938"/>
    </row>
    <row r="432" spans="5:19" x14ac:dyDescent="0.2">
      <c r="E432" s="1751"/>
      <c r="F432" s="1751"/>
      <c r="G432" s="1751"/>
      <c r="H432" s="1751"/>
      <c r="I432" s="1751"/>
      <c r="J432" s="1751"/>
      <c r="K432" s="1751"/>
      <c r="L432" s="1751"/>
      <c r="M432" s="1751"/>
      <c r="N432" s="1751"/>
      <c r="O432" s="1751"/>
      <c r="S432" s="1938"/>
    </row>
    <row r="433" spans="5:19" x14ac:dyDescent="0.2">
      <c r="E433" s="1751"/>
      <c r="F433" s="1751"/>
      <c r="G433" s="1751"/>
      <c r="H433" s="1751"/>
      <c r="I433" s="1751"/>
      <c r="J433" s="1751"/>
      <c r="K433" s="1751"/>
      <c r="L433" s="1751"/>
      <c r="M433" s="1751"/>
      <c r="N433" s="1751"/>
      <c r="O433" s="1751"/>
      <c r="S433" s="1938"/>
    </row>
    <row r="434" spans="5:19" x14ac:dyDescent="0.2">
      <c r="E434" s="1751"/>
      <c r="F434" s="1751"/>
      <c r="G434" s="1751"/>
      <c r="H434" s="1751"/>
      <c r="I434" s="1751"/>
      <c r="J434" s="1751"/>
      <c r="K434" s="1751"/>
      <c r="L434" s="1751"/>
      <c r="M434" s="1751"/>
      <c r="N434" s="1751"/>
      <c r="O434" s="1751"/>
      <c r="S434" s="1938"/>
    </row>
    <row r="435" spans="5:19" x14ac:dyDescent="0.2">
      <c r="E435" s="1751"/>
      <c r="F435" s="1751"/>
      <c r="G435" s="1751"/>
      <c r="H435" s="1751"/>
      <c r="I435" s="1751"/>
      <c r="J435" s="1751"/>
      <c r="K435" s="1751"/>
      <c r="L435" s="1751"/>
      <c r="M435" s="1751"/>
      <c r="N435" s="1751"/>
      <c r="O435" s="1751"/>
      <c r="S435" s="1938"/>
    </row>
    <row r="436" spans="5:19" x14ac:dyDescent="0.2">
      <c r="E436" s="1751"/>
      <c r="F436" s="1751"/>
      <c r="G436" s="1751"/>
      <c r="H436" s="1751"/>
      <c r="I436" s="1751"/>
      <c r="J436" s="1751"/>
      <c r="K436" s="1751"/>
      <c r="L436" s="1751"/>
      <c r="M436" s="1751"/>
      <c r="N436" s="1751"/>
      <c r="O436" s="1751"/>
      <c r="S436" s="1938"/>
    </row>
    <row r="437" spans="5:19" x14ac:dyDescent="0.2">
      <c r="E437" s="1751"/>
      <c r="F437" s="1751"/>
      <c r="G437" s="1751"/>
      <c r="H437" s="1751"/>
      <c r="I437" s="1751"/>
      <c r="J437" s="1751"/>
      <c r="K437" s="1751"/>
      <c r="L437" s="1751"/>
      <c r="M437" s="1751"/>
      <c r="N437" s="1751"/>
      <c r="O437" s="1751"/>
      <c r="S437" s="1938"/>
    </row>
    <row r="438" spans="5:19" x14ac:dyDescent="0.2">
      <c r="E438" s="1751"/>
      <c r="F438" s="1751"/>
      <c r="G438" s="1751"/>
      <c r="H438" s="1751"/>
      <c r="I438" s="1751"/>
      <c r="J438" s="1751"/>
      <c r="K438" s="1751"/>
      <c r="L438" s="1751"/>
      <c r="M438" s="1751"/>
      <c r="N438" s="1751"/>
      <c r="O438" s="1751"/>
      <c r="S438" s="1938"/>
    </row>
    <row r="439" spans="5:19" x14ac:dyDescent="0.2">
      <c r="E439" s="1751"/>
      <c r="F439" s="1751"/>
      <c r="G439" s="1751"/>
      <c r="H439" s="1751"/>
      <c r="I439" s="1751"/>
      <c r="J439" s="1751"/>
      <c r="K439" s="1751"/>
      <c r="L439" s="1751"/>
      <c r="M439" s="1751"/>
      <c r="N439" s="1751"/>
      <c r="O439" s="1751"/>
      <c r="S439" s="1938"/>
    </row>
    <row r="440" spans="5:19" x14ac:dyDescent="0.2">
      <c r="E440" s="1751"/>
      <c r="F440" s="1751"/>
      <c r="G440" s="1751"/>
      <c r="H440" s="1751"/>
      <c r="I440" s="1751"/>
      <c r="J440" s="1751"/>
      <c r="K440" s="1751"/>
      <c r="L440" s="1751"/>
      <c r="M440" s="1751"/>
      <c r="N440" s="1751"/>
      <c r="O440" s="1751"/>
      <c r="S440" s="1938"/>
    </row>
    <row r="441" spans="5:19" x14ac:dyDescent="0.2">
      <c r="E441" s="1751"/>
      <c r="F441" s="1751"/>
      <c r="G441" s="1751"/>
      <c r="H441" s="1751"/>
      <c r="I441" s="1751"/>
      <c r="J441" s="1751"/>
      <c r="K441" s="1751"/>
      <c r="L441" s="1751"/>
      <c r="M441" s="1751"/>
      <c r="N441" s="1751"/>
      <c r="O441" s="1751"/>
      <c r="S441" s="1938"/>
    </row>
    <row r="442" spans="5:19" x14ac:dyDescent="0.2">
      <c r="E442" s="1751"/>
      <c r="F442" s="1751"/>
      <c r="G442" s="1751"/>
      <c r="H442" s="1751"/>
      <c r="I442" s="1751"/>
      <c r="J442" s="1751"/>
      <c r="K442" s="1751"/>
      <c r="L442" s="1751"/>
      <c r="M442" s="1751"/>
      <c r="N442" s="1751"/>
      <c r="O442" s="1751"/>
      <c r="S442" s="1938"/>
    </row>
    <row r="443" spans="5:19" x14ac:dyDescent="0.2">
      <c r="E443" s="1751"/>
      <c r="F443" s="1751"/>
      <c r="G443" s="1751"/>
      <c r="H443" s="1751"/>
      <c r="I443" s="1751"/>
      <c r="J443" s="1751"/>
      <c r="K443" s="1751"/>
      <c r="L443" s="1751"/>
      <c r="M443" s="1751"/>
      <c r="N443" s="1751"/>
      <c r="O443" s="1751"/>
      <c r="S443" s="1938"/>
    </row>
    <row r="444" spans="5:19" x14ac:dyDescent="0.2">
      <c r="E444" s="1751"/>
      <c r="F444" s="1751"/>
      <c r="G444" s="1751"/>
      <c r="H444" s="1751"/>
      <c r="I444" s="1751"/>
      <c r="J444" s="1751"/>
      <c r="K444" s="1751"/>
      <c r="L444" s="1751"/>
      <c r="M444" s="1751"/>
      <c r="N444" s="1751"/>
      <c r="O444" s="1751"/>
      <c r="S444" s="1938"/>
    </row>
    <row r="445" spans="5:19" x14ac:dyDescent="0.2">
      <c r="E445" s="1751"/>
      <c r="F445" s="1751"/>
      <c r="G445" s="1751"/>
      <c r="H445" s="1751"/>
      <c r="I445" s="1751"/>
      <c r="J445" s="1751"/>
      <c r="K445" s="1751"/>
      <c r="L445" s="1751"/>
      <c r="M445" s="1751"/>
      <c r="N445" s="1751"/>
      <c r="O445" s="1751"/>
      <c r="S445" s="1938"/>
    </row>
    <row r="446" spans="5:19" x14ac:dyDescent="0.2">
      <c r="E446" s="1751"/>
      <c r="F446" s="1751"/>
      <c r="G446" s="1751"/>
      <c r="H446" s="1751"/>
      <c r="I446" s="1751"/>
      <c r="J446" s="1751"/>
      <c r="K446" s="1751"/>
      <c r="L446" s="1751"/>
      <c r="M446" s="1751"/>
      <c r="N446" s="1751"/>
      <c r="O446" s="1751"/>
      <c r="S446" s="1938"/>
    </row>
    <row r="447" spans="5:19" x14ac:dyDescent="0.2">
      <c r="E447" s="1751"/>
      <c r="F447" s="1751"/>
      <c r="G447" s="1751"/>
      <c r="H447" s="1751"/>
      <c r="I447" s="1751"/>
      <c r="J447" s="1751"/>
      <c r="K447" s="1751"/>
      <c r="L447" s="1751"/>
      <c r="M447" s="1751"/>
      <c r="N447" s="1751"/>
      <c r="O447" s="1751"/>
      <c r="S447" s="1938"/>
    </row>
    <row r="448" spans="5:19" x14ac:dyDescent="0.2">
      <c r="E448" s="1751"/>
      <c r="F448" s="1751"/>
      <c r="G448" s="1751"/>
      <c r="H448" s="1751"/>
      <c r="I448" s="1751"/>
      <c r="J448" s="1751"/>
      <c r="K448" s="1751"/>
      <c r="L448" s="1751"/>
      <c r="M448" s="1751"/>
      <c r="N448" s="1751"/>
      <c r="O448" s="1751"/>
      <c r="S448" s="1938"/>
    </row>
    <row r="449" spans="5:19" x14ac:dyDescent="0.2">
      <c r="E449" s="1751"/>
      <c r="F449" s="1751"/>
      <c r="G449" s="1751"/>
      <c r="H449" s="1751"/>
      <c r="I449" s="1751"/>
      <c r="J449" s="1751"/>
      <c r="K449" s="1751"/>
      <c r="L449" s="1751"/>
      <c r="M449" s="1751"/>
      <c r="N449" s="1751"/>
      <c r="O449" s="1751"/>
      <c r="S449" s="1938"/>
    </row>
    <row r="450" spans="5:19" x14ac:dyDescent="0.2">
      <c r="E450" s="1751"/>
      <c r="F450" s="1751"/>
      <c r="G450" s="1751"/>
      <c r="H450" s="1751"/>
      <c r="I450" s="1751"/>
      <c r="J450" s="1751"/>
      <c r="K450" s="1751"/>
      <c r="L450" s="1751"/>
      <c r="M450" s="1751"/>
      <c r="N450" s="1751"/>
      <c r="O450" s="1751"/>
      <c r="S450" s="1938"/>
    </row>
    <row r="451" spans="5:19" x14ac:dyDescent="0.2">
      <c r="E451" s="1751"/>
      <c r="F451" s="1751"/>
      <c r="G451" s="1751"/>
      <c r="H451" s="1751"/>
      <c r="I451" s="1751"/>
      <c r="J451" s="1751"/>
      <c r="K451" s="1751"/>
      <c r="L451" s="1751"/>
      <c r="M451" s="1751"/>
      <c r="N451" s="1751"/>
      <c r="O451" s="1751"/>
      <c r="S451" s="1938"/>
    </row>
    <row r="452" spans="5:19" x14ac:dyDescent="0.2">
      <c r="E452" s="1751"/>
      <c r="F452" s="1751"/>
      <c r="G452" s="1751"/>
      <c r="H452" s="1751"/>
      <c r="I452" s="1751"/>
      <c r="J452" s="1751"/>
      <c r="K452" s="1751"/>
      <c r="L452" s="1751"/>
      <c r="M452" s="1751"/>
      <c r="N452" s="1751"/>
      <c r="O452" s="1751"/>
      <c r="S452" s="1938"/>
    </row>
    <row r="453" spans="5:19" x14ac:dyDescent="0.2">
      <c r="E453" s="1751"/>
      <c r="F453" s="1751"/>
      <c r="G453" s="1751"/>
      <c r="H453" s="1751"/>
      <c r="I453" s="1751"/>
      <c r="J453" s="1751"/>
      <c r="K453" s="1751"/>
      <c r="L453" s="1751"/>
      <c r="M453" s="1751"/>
      <c r="N453" s="1751"/>
      <c r="O453" s="1751"/>
      <c r="S453" s="1938"/>
    </row>
    <row r="454" spans="5:19" x14ac:dyDescent="0.2">
      <c r="E454" s="1751"/>
      <c r="F454" s="1751"/>
      <c r="G454" s="1751"/>
      <c r="H454" s="1751"/>
      <c r="I454" s="1751"/>
      <c r="J454" s="1751"/>
      <c r="K454" s="1751"/>
      <c r="L454" s="1751"/>
      <c r="M454" s="1751"/>
      <c r="N454" s="1751"/>
      <c r="O454" s="1751"/>
      <c r="S454" s="1938"/>
    </row>
    <row r="455" spans="5:19" x14ac:dyDescent="0.2">
      <c r="E455" s="1751"/>
      <c r="F455" s="1751"/>
      <c r="G455" s="1751"/>
      <c r="H455" s="1751"/>
      <c r="I455" s="1751"/>
      <c r="J455" s="1751"/>
      <c r="K455" s="1751"/>
      <c r="L455" s="1751"/>
      <c r="M455" s="1751"/>
      <c r="N455" s="1751"/>
      <c r="O455" s="1751"/>
      <c r="S455" s="1938"/>
    </row>
    <row r="456" spans="5:19" x14ac:dyDescent="0.2">
      <c r="E456" s="1751"/>
      <c r="F456" s="1751"/>
      <c r="G456" s="1751"/>
      <c r="H456" s="1751"/>
      <c r="I456" s="1751"/>
      <c r="J456" s="1751"/>
      <c r="K456" s="1751"/>
      <c r="L456" s="1751"/>
      <c r="M456" s="1751"/>
      <c r="N456" s="1751"/>
      <c r="O456" s="1751"/>
      <c r="S456" s="1938"/>
    </row>
    <row r="457" spans="5:19" x14ac:dyDescent="0.2">
      <c r="E457" s="1751"/>
      <c r="F457" s="1751"/>
      <c r="G457" s="1751"/>
      <c r="H457" s="1751"/>
      <c r="I457" s="1751"/>
      <c r="J457" s="1751"/>
      <c r="K457" s="1751"/>
      <c r="L457" s="1751"/>
      <c r="M457" s="1751"/>
      <c r="N457" s="1751"/>
      <c r="O457" s="1751"/>
      <c r="S457" s="1938"/>
    </row>
    <row r="458" spans="5:19" x14ac:dyDescent="0.2">
      <c r="E458" s="1751"/>
      <c r="F458" s="1751"/>
      <c r="G458" s="1751"/>
      <c r="H458" s="1751"/>
      <c r="I458" s="1751"/>
      <c r="J458" s="1751"/>
      <c r="K458" s="1751"/>
      <c r="L458" s="1751"/>
      <c r="M458" s="1751"/>
      <c r="N458" s="1751"/>
      <c r="O458" s="1751"/>
      <c r="S458" s="1938"/>
    </row>
    <row r="459" spans="5:19" x14ac:dyDescent="0.2">
      <c r="E459" s="1751"/>
      <c r="F459" s="1751"/>
      <c r="G459" s="1751"/>
      <c r="H459" s="1751"/>
      <c r="I459" s="1751"/>
      <c r="J459" s="1751"/>
      <c r="K459" s="1751"/>
      <c r="L459" s="1751"/>
      <c r="M459" s="1751"/>
      <c r="N459" s="1751"/>
      <c r="O459" s="1751"/>
      <c r="S459" s="1938"/>
    </row>
    <row r="460" spans="5:19" x14ac:dyDescent="0.2">
      <c r="E460" s="1751"/>
      <c r="F460" s="1751"/>
      <c r="G460" s="1751"/>
      <c r="H460" s="1751"/>
      <c r="I460" s="1751"/>
      <c r="J460" s="1751"/>
      <c r="K460" s="1751"/>
      <c r="L460" s="1751"/>
      <c r="M460" s="1751"/>
      <c r="N460" s="1751"/>
      <c r="O460" s="1751"/>
      <c r="S460" s="1938"/>
    </row>
    <row r="461" spans="5:19" x14ac:dyDescent="0.2">
      <c r="E461" s="1751"/>
      <c r="F461" s="1751"/>
      <c r="G461" s="1751"/>
      <c r="H461" s="1751"/>
      <c r="I461" s="1751"/>
      <c r="J461" s="1751"/>
      <c r="K461" s="1751"/>
      <c r="L461" s="1751"/>
      <c r="M461" s="1751"/>
      <c r="N461" s="1751"/>
      <c r="O461" s="1751"/>
      <c r="S461" s="1938"/>
    </row>
    <row r="462" spans="5:19" x14ac:dyDescent="0.2">
      <c r="E462" s="1751"/>
      <c r="F462" s="1751"/>
      <c r="G462" s="1751"/>
      <c r="H462" s="1751"/>
      <c r="I462" s="1751"/>
      <c r="J462" s="1751"/>
      <c r="K462" s="1751"/>
      <c r="L462" s="1751"/>
      <c r="M462" s="1751"/>
      <c r="N462" s="1751"/>
      <c r="O462" s="1751"/>
      <c r="S462" s="1938"/>
    </row>
    <row r="463" spans="5:19" x14ac:dyDescent="0.2">
      <c r="E463" s="1751"/>
      <c r="F463" s="1751"/>
      <c r="G463" s="1751"/>
      <c r="H463" s="1751"/>
      <c r="I463" s="1751"/>
      <c r="J463" s="1751"/>
      <c r="K463" s="1751"/>
      <c r="L463" s="1751"/>
      <c r="M463" s="1751"/>
      <c r="N463" s="1751"/>
      <c r="O463" s="1751"/>
      <c r="S463" s="1938"/>
    </row>
    <row r="464" spans="5:19" x14ac:dyDescent="0.2">
      <c r="E464" s="1751"/>
      <c r="F464" s="1751"/>
      <c r="G464" s="1751"/>
      <c r="H464" s="1751"/>
      <c r="I464" s="1751"/>
      <c r="J464" s="1751"/>
      <c r="K464" s="1751"/>
      <c r="L464" s="1751"/>
      <c r="M464" s="1751"/>
      <c r="N464" s="1751"/>
      <c r="O464" s="1751"/>
      <c r="S464" s="1938"/>
    </row>
    <row r="465" spans="5:19" x14ac:dyDescent="0.2">
      <c r="E465" s="1751"/>
      <c r="F465" s="1751"/>
      <c r="G465" s="1751"/>
      <c r="H465" s="1751"/>
      <c r="I465" s="1751"/>
      <c r="J465" s="1751"/>
      <c r="K465" s="1751"/>
      <c r="L465" s="1751"/>
      <c r="M465" s="1751"/>
      <c r="N465" s="1751"/>
      <c r="O465" s="1751"/>
      <c r="S465" s="1938"/>
    </row>
    <row r="466" spans="5:19" x14ac:dyDescent="0.2">
      <c r="E466" s="1751"/>
      <c r="F466" s="1751"/>
      <c r="G466" s="1751"/>
      <c r="H466" s="1751"/>
      <c r="I466" s="1751"/>
      <c r="J466" s="1751"/>
      <c r="K466" s="1751"/>
      <c r="L466" s="1751"/>
      <c r="M466" s="1751"/>
      <c r="N466" s="1751"/>
      <c r="O466" s="1751"/>
      <c r="S466" s="1938"/>
    </row>
    <row r="467" spans="5:19" x14ac:dyDescent="0.2">
      <c r="E467" s="1751"/>
      <c r="F467" s="1751"/>
      <c r="G467" s="1751"/>
      <c r="H467" s="1751"/>
      <c r="I467" s="1751"/>
      <c r="J467" s="1751"/>
      <c r="K467" s="1751"/>
      <c r="L467" s="1751"/>
      <c r="M467" s="1751"/>
      <c r="N467" s="1751"/>
      <c r="O467" s="1751"/>
      <c r="S467" s="1938"/>
    </row>
    <row r="468" spans="5:19" x14ac:dyDescent="0.2">
      <c r="E468" s="1751"/>
      <c r="F468" s="1751"/>
      <c r="G468" s="1751"/>
      <c r="H468" s="1751"/>
      <c r="I468" s="1751"/>
      <c r="J468" s="1751"/>
      <c r="K468" s="1751"/>
      <c r="L468" s="1751"/>
      <c r="M468" s="1751"/>
      <c r="N468" s="1751"/>
      <c r="O468" s="1751"/>
      <c r="S468" s="1938"/>
    </row>
    <row r="469" spans="5:19" x14ac:dyDescent="0.2">
      <c r="E469" s="1751"/>
      <c r="F469" s="1751"/>
      <c r="G469" s="1751"/>
      <c r="H469" s="1751"/>
      <c r="I469" s="1751"/>
      <c r="J469" s="1751"/>
      <c r="K469" s="1751"/>
      <c r="L469" s="1751"/>
      <c r="M469" s="1751"/>
      <c r="N469" s="1751"/>
      <c r="O469" s="1751"/>
      <c r="S469" s="1938"/>
    </row>
    <row r="470" spans="5:19" x14ac:dyDescent="0.2">
      <c r="E470" s="1751"/>
      <c r="F470" s="1751"/>
      <c r="G470" s="1751"/>
      <c r="H470" s="1751"/>
      <c r="I470" s="1751"/>
      <c r="J470" s="1751"/>
      <c r="K470" s="1751"/>
      <c r="L470" s="1751"/>
      <c r="M470" s="1751"/>
      <c r="N470" s="1751"/>
      <c r="O470" s="1751"/>
      <c r="S470" s="1938"/>
    </row>
    <row r="471" spans="5:19" x14ac:dyDescent="0.2">
      <c r="E471" s="1751"/>
      <c r="F471" s="1751"/>
      <c r="G471" s="1751"/>
      <c r="H471" s="1751"/>
      <c r="I471" s="1751"/>
      <c r="J471" s="1751"/>
      <c r="K471" s="1751"/>
      <c r="L471" s="1751"/>
      <c r="M471" s="1751"/>
      <c r="N471" s="1751"/>
      <c r="O471" s="1751"/>
      <c r="S471" s="1938"/>
    </row>
    <row r="472" spans="5:19" x14ac:dyDescent="0.2">
      <c r="E472" s="1751"/>
      <c r="F472" s="1751"/>
      <c r="G472" s="1751"/>
      <c r="H472" s="1751"/>
      <c r="I472" s="1751"/>
      <c r="J472" s="1751"/>
      <c r="K472" s="1751"/>
      <c r="L472" s="1751"/>
      <c r="M472" s="1751"/>
      <c r="N472" s="1751"/>
      <c r="O472" s="1751"/>
      <c r="S472" s="1938"/>
    </row>
    <row r="473" spans="5:19" x14ac:dyDescent="0.2">
      <c r="E473" s="1751"/>
      <c r="F473" s="1751"/>
      <c r="G473" s="1751"/>
      <c r="H473" s="1751"/>
      <c r="I473" s="1751"/>
      <c r="J473" s="1751"/>
      <c r="K473" s="1751"/>
      <c r="L473" s="1751"/>
      <c r="M473" s="1751"/>
      <c r="N473" s="1751"/>
      <c r="O473" s="1751"/>
      <c r="S473" s="1938"/>
    </row>
    <row r="474" spans="5:19" x14ac:dyDescent="0.2">
      <c r="E474" s="1751"/>
      <c r="F474" s="1751"/>
      <c r="G474" s="1751"/>
      <c r="H474" s="1751"/>
      <c r="I474" s="1751"/>
      <c r="J474" s="1751"/>
      <c r="K474" s="1751"/>
      <c r="L474" s="1751"/>
      <c r="M474" s="1751"/>
      <c r="N474" s="1751"/>
      <c r="O474" s="1751"/>
      <c r="S474" s="1938"/>
    </row>
    <row r="475" spans="5:19" x14ac:dyDescent="0.2">
      <c r="E475" s="1751"/>
      <c r="F475" s="1751"/>
      <c r="G475" s="1751"/>
      <c r="H475" s="1751"/>
      <c r="I475" s="1751"/>
      <c r="J475" s="1751"/>
      <c r="K475" s="1751"/>
      <c r="L475" s="1751"/>
      <c r="M475" s="1751"/>
      <c r="N475" s="1751"/>
      <c r="O475" s="1751"/>
      <c r="S475" s="1938"/>
    </row>
    <row r="476" spans="5:19" x14ac:dyDescent="0.2">
      <c r="E476" s="1751"/>
      <c r="F476" s="1751"/>
      <c r="G476" s="1751"/>
      <c r="H476" s="1751"/>
      <c r="I476" s="1751"/>
      <c r="J476" s="1751"/>
      <c r="K476" s="1751"/>
      <c r="L476" s="1751"/>
      <c r="M476" s="1751"/>
      <c r="N476" s="1751"/>
      <c r="O476" s="1751"/>
      <c r="S476" s="1938"/>
    </row>
    <row r="477" spans="5:19" x14ac:dyDescent="0.2">
      <c r="E477" s="1751"/>
      <c r="F477" s="1751"/>
      <c r="G477" s="1751"/>
      <c r="H477" s="1751"/>
      <c r="I477" s="1751"/>
      <c r="J477" s="1751"/>
      <c r="K477" s="1751"/>
      <c r="L477" s="1751"/>
      <c r="M477" s="1751"/>
      <c r="N477" s="1751"/>
      <c r="O477" s="1751"/>
      <c r="S477" s="1938"/>
    </row>
    <row r="478" spans="5:19" x14ac:dyDescent="0.2">
      <c r="E478" s="1751"/>
      <c r="F478" s="1751"/>
      <c r="G478" s="1751"/>
      <c r="H478" s="1751"/>
      <c r="I478" s="1751"/>
      <c r="J478" s="1751"/>
      <c r="K478" s="1751"/>
      <c r="L478" s="1751"/>
      <c r="M478" s="1751"/>
      <c r="N478" s="1751"/>
      <c r="O478" s="1751"/>
      <c r="S478" s="1938"/>
    </row>
    <row r="479" spans="5:19" x14ac:dyDescent="0.2">
      <c r="E479" s="1751"/>
      <c r="F479" s="1751"/>
      <c r="G479" s="1751"/>
      <c r="H479" s="1751"/>
      <c r="I479" s="1751"/>
      <c r="J479" s="1751"/>
      <c r="K479" s="1751"/>
      <c r="L479" s="1751"/>
      <c r="M479" s="1751"/>
      <c r="N479" s="1751"/>
      <c r="O479" s="1751"/>
      <c r="S479" s="1938"/>
    </row>
    <row r="480" spans="5:19" x14ac:dyDescent="0.2">
      <c r="E480" s="1751"/>
      <c r="F480" s="1751"/>
      <c r="G480" s="1751"/>
      <c r="H480" s="1751"/>
      <c r="I480" s="1751"/>
      <c r="J480" s="1751"/>
      <c r="K480" s="1751"/>
      <c r="L480" s="1751"/>
      <c r="M480" s="1751"/>
      <c r="N480" s="1751"/>
      <c r="O480" s="1751"/>
      <c r="S480" s="1938"/>
    </row>
    <row r="481" spans="5:19" x14ac:dyDescent="0.2">
      <c r="E481" s="1751"/>
      <c r="F481" s="1751"/>
      <c r="G481" s="1751"/>
      <c r="H481" s="1751"/>
      <c r="I481" s="1751"/>
      <c r="J481" s="1751"/>
      <c r="K481" s="1751"/>
      <c r="L481" s="1751"/>
      <c r="M481" s="1751"/>
      <c r="N481" s="1751"/>
      <c r="O481" s="1751"/>
      <c r="S481" s="1938"/>
    </row>
    <row r="482" spans="5:19" x14ac:dyDescent="0.2">
      <c r="E482" s="1751"/>
      <c r="F482" s="1751"/>
      <c r="G482" s="1751"/>
      <c r="H482" s="1751"/>
      <c r="I482" s="1751"/>
      <c r="J482" s="1751"/>
      <c r="K482" s="1751"/>
      <c r="L482" s="1751"/>
      <c r="M482" s="1751"/>
      <c r="N482" s="1751"/>
      <c r="O482" s="1751"/>
      <c r="S482" s="1938"/>
    </row>
    <row r="483" spans="5:19" x14ac:dyDescent="0.2">
      <c r="E483" s="1751"/>
      <c r="F483" s="1751"/>
      <c r="G483" s="1751"/>
      <c r="H483" s="1751"/>
      <c r="I483" s="1751"/>
      <c r="J483" s="1751"/>
      <c r="K483" s="1751"/>
      <c r="L483" s="1751"/>
      <c r="M483" s="1751"/>
      <c r="N483" s="1751"/>
      <c r="O483" s="1751"/>
      <c r="S483" s="1938"/>
    </row>
    <row r="484" spans="5:19" x14ac:dyDescent="0.2">
      <c r="E484" s="1751"/>
      <c r="F484" s="1751"/>
      <c r="G484" s="1751"/>
      <c r="H484" s="1751"/>
      <c r="I484" s="1751"/>
      <c r="J484" s="1751"/>
      <c r="K484" s="1751"/>
      <c r="L484" s="1751"/>
      <c r="M484" s="1751"/>
      <c r="N484" s="1751"/>
      <c r="O484" s="1751"/>
      <c r="S484" s="1938"/>
    </row>
    <row r="485" spans="5:19" x14ac:dyDescent="0.2">
      <c r="E485" s="1751"/>
      <c r="F485" s="1751"/>
      <c r="G485" s="1751"/>
      <c r="H485" s="1751"/>
      <c r="I485" s="1751"/>
      <c r="J485" s="1751"/>
      <c r="K485" s="1751"/>
      <c r="L485" s="1751"/>
      <c r="M485" s="1751"/>
      <c r="N485" s="1751"/>
      <c r="O485" s="1751"/>
      <c r="S485" s="1938"/>
    </row>
    <row r="486" spans="5:19" x14ac:dyDescent="0.2">
      <c r="E486" s="1751"/>
      <c r="F486" s="1751"/>
      <c r="G486" s="1751"/>
      <c r="H486" s="1751"/>
      <c r="I486" s="1751"/>
      <c r="J486" s="1751"/>
      <c r="K486" s="1751"/>
      <c r="L486" s="1751"/>
      <c r="M486" s="1751"/>
      <c r="N486" s="1751"/>
      <c r="O486" s="1751"/>
      <c r="S486" s="1938"/>
    </row>
    <row r="487" spans="5:19" x14ac:dyDescent="0.2">
      <c r="E487" s="1751"/>
      <c r="F487" s="1751"/>
      <c r="G487" s="1751"/>
      <c r="H487" s="1751"/>
      <c r="I487" s="1751"/>
      <c r="J487" s="1751"/>
      <c r="K487" s="1751"/>
      <c r="L487" s="1751"/>
      <c r="M487" s="1751"/>
      <c r="N487" s="1751"/>
      <c r="O487" s="1751"/>
      <c r="S487" s="1938"/>
    </row>
    <row r="488" spans="5:19" x14ac:dyDescent="0.2">
      <c r="E488" s="1751"/>
      <c r="F488" s="1751"/>
      <c r="G488" s="1751"/>
      <c r="H488" s="1751"/>
      <c r="I488" s="1751"/>
      <c r="J488" s="1751"/>
      <c r="K488" s="1751"/>
      <c r="L488" s="1751"/>
      <c r="M488" s="1751"/>
      <c r="N488" s="1751"/>
      <c r="O488" s="1751"/>
      <c r="S488" s="1938"/>
    </row>
    <row r="489" spans="5:19" x14ac:dyDescent="0.2">
      <c r="E489" s="1751"/>
      <c r="F489" s="1751"/>
      <c r="G489" s="1751"/>
      <c r="H489" s="1751"/>
      <c r="I489" s="1751"/>
      <c r="J489" s="1751"/>
      <c r="K489" s="1751"/>
      <c r="L489" s="1751"/>
      <c r="M489" s="1751"/>
      <c r="N489" s="1751"/>
      <c r="O489" s="1751"/>
      <c r="S489" s="1938"/>
    </row>
    <row r="490" spans="5:19" x14ac:dyDescent="0.2">
      <c r="E490" s="1751"/>
      <c r="F490" s="1751"/>
      <c r="G490" s="1751"/>
      <c r="H490" s="1751"/>
      <c r="I490" s="1751"/>
      <c r="J490" s="1751"/>
      <c r="K490" s="1751"/>
      <c r="L490" s="1751"/>
      <c r="M490" s="1751"/>
      <c r="N490" s="1751"/>
      <c r="O490" s="1751"/>
      <c r="S490" s="1938"/>
    </row>
    <row r="491" spans="5:19" x14ac:dyDescent="0.2">
      <c r="E491" s="1751"/>
      <c r="F491" s="1751"/>
      <c r="G491" s="1751"/>
      <c r="H491" s="1751"/>
      <c r="I491" s="1751"/>
      <c r="J491" s="1751"/>
      <c r="K491" s="1751"/>
      <c r="L491" s="1751"/>
      <c r="M491" s="1751"/>
      <c r="N491" s="1751"/>
      <c r="O491" s="1751"/>
      <c r="S491" s="1938"/>
    </row>
    <row r="492" spans="5:19" x14ac:dyDescent="0.2">
      <c r="E492" s="1751"/>
      <c r="F492" s="1751"/>
      <c r="G492" s="1751"/>
      <c r="H492" s="1751"/>
      <c r="I492" s="1751"/>
      <c r="J492" s="1751"/>
      <c r="K492" s="1751"/>
      <c r="L492" s="1751"/>
      <c r="M492" s="1751"/>
      <c r="N492" s="1751"/>
      <c r="O492" s="1751"/>
      <c r="S492" s="1938"/>
    </row>
    <row r="493" spans="5:19" x14ac:dyDescent="0.2">
      <c r="E493" s="1751"/>
      <c r="F493" s="1751"/>
      <c r="G493" s="1751"/>
      <c r="H493" s="1751"/>
      <c r="I493" s="1751"/>
      <c r="J493" s="1751"/>
      <c r="K493" s="1751"/>
      <c r="L493" s="1751"/>
      <c r="M493" s="1751"/>
      <c r="N493" s="1751"/>
      <c r="O493" s="1751"/>
      <c r="S493" s="1938"/>
    </row>
    <row r="494" spans="5:19" x14ac:dyDescent="0.2">
      <c r="E494" s="1751"/>
      <c r="F494" s="1751"/>
      <c r="G494" s="1751"/>
      <c r="H494" s="1751"/>
      <c r="I494" s="1751"/>
      <c r="J494" s="1751"/>
      <c r="K494" s="1751"/>
      <c r="L494" s="1751"/>
      <c r="M494" s="1751"/>
      <c r="N494" s="1751"/>
      <c r="O494" s="1751"/>
      <c r="S494" s="1938"/>
    </row>
    <row r="495" spans="5:19" x14ac:dyDescent="0.2">
      <c r="E495" s="1751"/>
      <c r="F495" s="1751"/>
      <c r="G495" s="1751"/>
      <c r="H495" s="1751"/>
      <c r="I495" s="1751"/>
      <c r="J495" s="1751"/>
      <c r="K495" s="1751"/>
      <c r="L495" s="1751"/>
      <c r="M495" s="1751"/>
      <c r="N495" s="1751"/>
      <c r="O495" s="1751"/>
      <c r="S495" s="1938"/>
    </row>
    <row r="496" spans="5:19" x14ac:dyDescent="0.2">
      <c r="E496" s="1751"/>
      <c r="F496" s="1751"/>
      <c r="G496" s="1751"/>
      <c r="H496" s="1751"/>
      <c r="I496" s="1751"/>
      <c r="J496" s="1751"/>
      <c r="K496" s="1751"/>
      <c r="L496" s="1751"/>
      <c r="M496" s="1751"/>
      <c r="N496" s="1751"/>
      <c r="O496" s="1751"/>
      <c r="S496" s="1938"/>
    </row>
    <row r="497" spans="5:19" x14ac:dyDescent="0.2">
      <c r="E497" s="1751"/>
      <c r="F497" s="1751"/>
      <c r="G497" s="1751"/>
      <c r="H497" s="1751"/>
      <c r="I497" s="1751"/>
      <c r="J497" s="1751"/>
      <c r="K497" s="1751"/>
      <c r="L497" s="1751"/>
      <c r="M497" s="1751"/>
      <c r="N497" s="1751"/>
      <c r="O497" s="1751"/>
      <c r="S497" s="1938"/>
    </row>
    <row r="498" spans="5:19" x14ac:dyDescent="0.2">
      <c r="E498" s="1751"/>
      <c r="F498" s="1751"/>
      <c r="G498" s="1751"/>
      <c r="H498" s="1751"/>
      <c r="I498" s="1751"/>
      <c r="J498" s="1751"/>
      <c r="K498" s="1751"/>
      <c r="L498" s="1751"/>
      <c r="M498" s="1751"/>
      <c r="N498" s="1751"/>
      <c r="O498" s="1751"/>
      <c r="S498" s="1938"/>
    </row>
    <row r="499" spans="5:19" x14ac:dyDescent="0.2">
      <c r="E499" s="1751"/>
      <c r="F499" s="1751"/>
      <c r="G499" s="1751"/>
      <c r="H499" s="1751"/>
      <c r="I499" s="1751"/>
      <c r="J499" s="1751"/>
      <c r="K499" s="1751"/>
      <c r="L499" s="1751"/>
      <c r="M499" s="1751"/>
      <c r="N499" s="1751"/>
      <c r="O499" s="1751"/>
      <c r="S499" s="1938"/>
    </row>
    <row r="500" spans="5:19" x14ac:dyDescent="0.2">
      <c r="E500" s="1751"/>
      <c r="F500" s="1751"/>
      <c r="G500" s="1751"/>
      <c r="H500" s="1751"/>
      <c r="I500" s="1751"/>
      <c r="J500" s="1751"/>
      <c r="K500" s="1751"/>
      <c r="L500" s="1751"/>
      <c r="M500" s="1751"/>
      <c r="N500" s="1751"/>
      <c r="O500" s="1751"/>
      <c r="S500" s="1938"/>
    </row>
    <row r="501" spans="5:19" x14ac:dyDescent="0.2">
      <c r="E501" s="1751"/>
      <c r="F501" s="1751"/>
      <c r="G501" s="1751"/>
      <c r="H501" s="1751"/>
      <c r="I501" s="1751"/>
      <c r="J501" s="1751"/>
      <c r="K501" s="1751"/>
      <c r="L501" s="1751"/>
      <c r="M501" s="1751"/>
      <c r="N501" s="1751"/>
      <c r="O501" s="1751"/>
      <c r="S501" s="1938"/>
    </row>
    <row r="502" spans="5:19" x14ac:dyDescent="0.2">
      <c r="E502" s="1751"/>
      <c r="F502" s="1751"/>
      <c r="G502" s="1751"/>
      <c r="H502" s="1751"/>
      <c r="I502" s="1751"/>
      <c r="J502" s="1751"/>
      <c r="K502" s="1751"/>
      <c r="L502" s="1751"/>
      <c r="M502" s="1751"/>
      <c r="N502" s="1751"/>
      <c r="O502" s="1751"/>
      <c r="S502" s="1938"/>
    </row>
    <row r="503" spans="5:19" x14ac:dyDescent="0.2">
      <c r="E503" s="1751"/>
      <c r="F503" s="1751"/>
      <c r="G503" s="1751"/>
      <c r="H503" s="1751"/>
      <c r="I503" s="1751"/>
      <c r="J503" s="1751"/>
      <c r="K503" s="1751"/>
      <c r="L503" s="1751"/>
      <c r="M503" s="1751"/>
      <c r="N503" s="1751"/>
      <c r="O503" s="1751"/>
      <c r="S503" s="1938"/>
    </row>
    <row r="504" spans="5:19" x14ac:dyDescent="0.2">
      <c r="E504" s="1751"/>
      <c r="F504" s="1751"/>
      <c r="G504" s="1751"/>
      <c r="H504" s="1751"/>
      <c r="I504" s="1751"/>
      <c r="J504" s="1751"/>
      <c r="K504" s="1751"/>
      <c r="L504" s="1751"/>
      <c r="M504" s="1751"/>
      <c r="N504" s="1751"/>
      <c r="O504" s="1751"/>
      <c r="S504" s="1938"/>
    </row>
    <row r="505" spans="5:19" x14ac:dyDescent="0.2">
      <c r="E505" s="1751"/>
      <c r="F505" s="1751"/>
      <c r="G505" s="1751"/>
      <c r="H505" s="1751"/>
      <c r="I505" s="1751"/>
      <c r="J505" s="1751"/>
      <c r="K505" s="1751"/>
      <c r="L505" s="1751"/>
      <c r="M505" s="1751"/>
      <c r="N505" s="1751"/>
      <c r="O505" s="1751"/>
      <c r="S505" s="1938"/>
    </row>
    <row r="506" spans="5:19" x14ac:dyDescent="0.2">
      <c r="E506" s="1751"/>
      <c r="F506" s="1751"/>
      <c r="G506" s="1751"/>
      <c r="H506" s="1751"/>
      <c r="I506" s="1751"/>
      <c r="J506" s="1751"/>
      <c r="K506" s="1751"/>
      <c r="L506" s="1751"/>
      <c r="M506" s="1751"/>
      <c r="N506" s="1751"/>
      <c r="O506" s="1751"/>
      <c r="S506" s="1938"/>
    </row>
    <row r="507" spans="5:19" x14ac:dyDescent="0.2">
      <c r="E507" s="1751"/>
      <c r="F507" s="1751"/>
      <c r="G507" s="1751"/>
      <c r="H507" s="1751"/>
      <c r="I507" s="1751"/>
      <c r="J507" s="1751"/>
      <c r="K507" s="1751"/>
      <c r="L507" s="1751"/>
      <c r="M507" s="1751"/>
      <c r="N507" s="1751"/>
      <c r="O507" s="1751"/>
      <c r="S507" s="1938"/>
    </row>
    <row r="508" spans="5:19" x14ac:dyDescent="0.2">
      <c r="E508" s="1751"/>
      <c r="F508" s="1751"/>
      <c r="G508" s="1751"/>
      <c r="H508" s="1751"/>
      <c r="I508" s="1751"/>
      <c r="J508" s="1751"/>
      <c r="K508" s="1751"/>
      <c r="L508" s="1751"/>
      <c r="M508" s="1751"/>
      <c r="N508" s="1751"/>
      <c r="O508" s="1751"/>
      <c r="S508" s="1938"/>
    </row>
    <row r="509" spans="5:19" x14ac:dyDescent="0.2">
      <c r="E509" s="1751"/>
      <c r="F509" s="1751"/>
      <c r="G509" s="1751"/>
      <c r="H509" s="1751"/>
      <c r="I509" s="1751"/>
      <c r="J509" s="1751"/>
      <c r="K509" s="1751"/>
      <c r="L509" s="1751"/>
      <c r="M509" s="1751"/>
      <c r="N509" s="1751"/>
      <c r="O509" s="1751"/>
      <c r="S509" s="1938"/>
    </row>
    <row r="510" spans="5:19" x14ac:dyDescent="0.2">
      <c r="E510" s="1751"/>
      <c r="F510" s="1751"/>
      <c r="G510" s="1751"/>
      <c r="H510" s="1751"/>
      <c r="I510" s="1751"/>
      <c r="J510" s="1751"/>
      <c r="K510" s="1751"/>
      <c r="L510" s="1751"/>
      <c r="M510" s="1751"/>
      <c r="N510" s="1751"/>
      <c r="O510" s="1751"/>
      <c r="S510" s="1938"/>
    </row>
    <row r="511" spans="5:19" x14ac:dyDescent="0.2">
      <c r="E511" s="1751"/>
      <c r="F511" s="1751"/>
      <c r="G511" s="1751"/>
      <c r="H511" s="1751"/>
      <c r="I511" s="1751"/>
      <c r="J511" s="1751"/>
      <c r="K511" s="1751"/>
      <c r="L511" s="1751"/>
      <c r="M511" s="1751"/>
      <c r="N511" s="1751"/>
      <c r="O511" s="1751"/>
      <c r="S511" s="1938"/>
    </row>
    <row r="512" spans="5:19" x14ac:dyDescent="0.2">
      <c r="E512" s="1751"/>
      <c r="F512" s="1751"/>
      <c r="G512" s="1751"/>
      <c r="H512" s="1751"/>
      <c r="I512" s="1751"/>
      <c r="J512" s="1751"/>
      <c r="K512" s="1751"/>
      <c r="L512" s="1751"/>
      <c r="M512" s="1751"/>
      <c r="N512" s="1751"/>
      <c r="O512" s="1751"/>
      <c r="S512" s="1938"/>
    </row>
    <row r="513" spans="5:19" x14ac:dyDescent="0.2">
      <c r="E513" s="1751"/>
      <c r="F513" s="1751"/>
      <c r="G513" s="1751"/>
      <c r="H513" s="1751"/>
      <c r="I513" s="1751"/>
      <c r="J513" s="1751"/>
      <c r="K513" s="1751"/>
      <c r="L513" s="1751"/>
      <c r="M513" s="1751"/>
      <c r="N513" s="1751"/>
      <c r="O513" s="1751"/>
      <c r="S513" s="1938"/>
    </row>
    <row r="514" spans="5:19" x14ac:dyDescent="0.2">
      <c r="E514" s="1751"/>
      <c r="F514" s="1751"/>
      <c r="G514" s="1751"/>
      <c r="H514" s="1751"/>
      <c r="I514" s="1751"/>
      <c r="J514" s="1751"/>
      <c r="K514" s="1751"/>
      <c r="L514" s="1751"/>
      <c r="M514" s="1751"/>
      <c r="N514" s="1751"/>
      <c r="O514" s="1751"/>
      <c r="S514" s="1938"/>
    </row>
    <row r="515" spans="5:19" x14ac:dyDescent="0.2">
      <c r="E515" s="1751"/>
      <c r="F515" s="1751"/>
      <c r="G515" s="1751"/>
      <c r="H515" s="1751"/>
      <c r="I515" s="1751"/>
      <c r="J515" s="1751"/>
      <c r="K515" s="1751"/>
      <c r="L515" s="1751"/>
      <c r="M515" s="1751"/>
      <c r="N515" s="1751"/>
      <c r="O515" s="1751"/>
      <c r="S515" s="1938"/>
    </row>
    <row r="516" spans="5:19" x14ac:dyDescent="0.2">
      <c r="E516" s="1751"/>
      <c r="F516" s="1751"/>
      <c r="G516" s="1751"/>
      <c r="H516" s="1751"/>
      <c r="I516" s="1751"/>
      <c r="J516" s="1751"/>
      <c r="K516" s="1751"/>
      <c r="L516" s="1751"/>
      <c r="M516" s="1751"/>
      <c r="N516" s="1751"/>
      <c r="O516" s="1751"/>
      <c r="S516" s="1938"/>
    </row>
  </sheetData>
  <mergeCells count="48">
    <mergeCell ref="A4:S4"/>
    <mergeCell ref="A5:A8"/>
    <mergeCell ref="B5:B8"/>
    <mergeCell ref="C5:C8"/>
    <mergeCell ref="D5:H5"/>
    <mergeCell ref="I5:M5"/>
    <mergeCell ref="N5:S5"/>
    <mergeCell ref="D6:D8"/>
    <mergeCell ref="E6:E8"/>
    <mergeCell ref="F6:F8"/>
    <mergeCell ref="I6:I8"/>
    <mergeCell ref="J6:J8"/>
    <mergeCell ref="K6:K8"/>
    <mergeCell ref="M6:M8"/>
    <mergeCell ref="N6:N8"/>
    <mergeCell ref="S6:S8"/>
    <mergeCell ref="A30:S30"/>
    <mergeCell ref="A13:A20"/>
    <mergeCell ref="S13:S20"/>
    <mergeCell ref="C14:C17"/>
    <mergeCell ref="C19:C20"/>
    <mergeCell ref="A21:A29"/>
    <mergeCell ref="S21:S29"/>
    <mergeCell ref="C23:C26"/>
    <mergeCell ref="C28:C29"/>
    <mergeCell ref="C66:C67"/>
    <mergeCell ref="A55:A67"/>
    <mergeCell ref="S55:S67"/>
    <mergeCell ref="C35:C40"/>
    <mergeCell ref="C45:C46"/>
    <mergeCell ref="A34:A46"/>
    <mergeCell ref="S34:S39"/>
    <mergeCell ref="A47:A50"/>
    <mergeCell ref="S47:S50"/>
    <mergeCell ref="C49:C50"/>
    <mergeCell ref="A51:A54"/>
    <mergeCell ref="S51:S54"/>
    <mergeCell ref="C53:C54"/>
    <mergeCell ref="C57:C61"/>
    <mergeCell ref="G6:H6"/>
    <mergeCell ref="G7:G8"/>
    <mergeCell ref="H7:H8"/>
    <mergeCell ref="O6:R6"/>
    <mergeCell ref="O7:O8"/>
    <mergeCell ref="L6:L8"/>
    <mergeCell ref="P7:P8"/>
    <mergeCell ref="Q7:Q8"/>
    <mergeCell ref="R7:R8"/>
  </mergeCells>
  <printOptions horizontalCentered="1"/>
  <pageMargins left="0.15748031496062992" right="0.15748031496062992" top="0.55118110236220474" bottom="0.31496062992125984" header="0.23622047244094491" footer="0.15748031496062992"/>
  <pageSetup paperSize="9" scale="60" firstPageNumber="74" orientation="portrait" useFirstPageNumber="1" r:id="rId1"/>
  <headerFooter alignWithMargins="0">
    <oddHeader>&amp;C&amp;"Arial,Kursywa"Informacja o przebiegu wykonania budżetu Województwa Zachodniopomorskiego za I kwartał 2013 roku - załączniki
____________________________________________________________________________________________________________________________</oddHeader>
    <oddFooter>&amp;C&amp;8&amp;P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1:BS839"/>
  <sheetViews>
    <sheetView showGridLines="0" view="pageBreakPreview" zoomScale="95" zoomScaleNormal="100" zoomScaleSheetLayoutView="95" workbookViewId="0">
      <pane xSplit="8" ySplit="9" topLeftCell="I10" activePane="bottomRight" state="frozen"/>
      <selection pane="topRight" activeCell="I1" sqref="I1"/>
      <selection pane="bottomLeft" activeCell="A10" sqref="A10"/>
      <selection pane="bottomRight" activeCell="T1" sqref="T1:V1048576"/>
    </sheetView>
  </sheetViews>
  <sheetFormatPr defaultRowHeight="12.75" x14ac:dyDescent="0.2"/>
  <cols>
    <col min="1" max="1" width="3.42578125" style="1745" customWidth="1"/>
    <col min="2" max="2" width="50.7109375" style="1403" customWidth="1"/>
    <col min="3" max="3" width="12.28515625" style="1404" customWidth="1"/>
    <col min="4" max="4" width="12.7109375" style="1403" customWidth="1"/>
    <col min="5" max="5" width="13.85546875" style="1403" hidden="1" customWidth="1"/>
    <col min="6" max="6" width="13.7109375" style="1403" hidden="1" customWidth="1"/>
    <col min="7" max="7" width="13.28515625" style="1403" customWidth="1"/>
    <col min="8" max="8" width="12.42578125" style="1403" customWidth="1"/>
    <col min="9" max="9" width="13.140625" style="1403" hidden="1" customWidth="1"/>
    <col min="10" max="10" width="12.85546875" style="1403" hidden="1" customWidth="1"/>
    <col min="11" max="11" width="12.28515625" style="1403" hidden="1" customWidth="1"/>
    <col min="12" max="12" width="10.85546875" style="1403" hidden="1" customWidth="1"/>
    <col min="13" max="13" width="10.7109375" style="1403" hidden="1" customWidth="1"/>
    <col min="14" max="14" width="12" style="1403" customWidth="1"/>
    <col min="15" max="15" width="10.5703125" style="1403" customWidth="1"/>
    <col min="16" max="16" width="10.85546875" style="1403" customWidth="1"/>
    <col min="17" max="17" width="11.85546875" style="1403" customWidth="1"/>
    <col min="18" max="18" width="10.7109375" style="1403" hidden="1" customWidth="1"/>
    <col min="19" max="19" width="18" style="2065" customWidth="1"/>
    <col min="20" max="20" width="15.140625" style="1403" customWidth="1"/>
    <col min="21" max="23" width="10.140625" style="1403" bestFit="1" customWidth="1"/>
    <col min="24" max="16384" width="9.140625" style="1403"/>
  </cols>
  <sheetData>
    <row r="1" spans="1:71" ht="25.5" customHeight="1" x14ac:dyDescent="0.3">
      <c r="N1" s="9"/>
      <c r="O1" s="9" t="s">
        <v>375</v>
      </c>
      <c r="P1" s="9"/>
      <c r="Q1" s="9"/>
      <c r="R1" s="9" t="s">
        <v>175</v>
      </c>
      <c r="S1" s="1949"/>
    </row>
    <row r="2" spans="1:71" ht="7.5" customHeight="1" x14ac:dyDescent="0.2">
      <c r="D2" s="1950"/>
      <c r="N2" s="242"/>
      <c r="S2" s="237"/>
    </row>
    <row r="3" spans="1:71" ht="5.25" customHeight="1" x14ac:dyDescent="0.2">
      <c r="D3" s="1950"/>
      <c r="N3" s="242"/>
      <c r="S3" s="237"/>
    </row>
    <row r="4" spans="1:71" s="1951" customFormat="1" ht="44.25" customHeight="1" thickBot="1" x14ac:dyDescent="0.35">
      <c r="A4" s="3109" t="s">
        <v>281</v>
      </c>
      <c r="B4" s="2923"/>
      <c r="C4" s="2923"/>
      <c r="D4" s="2923"/>
      <c r="E4" s="2923"/>
      <c r="F4" s="2923"/>
      <c r="G4" s="2923"/>
      <c r="H4" s="2923"/>
      <c r="I4" s="2923"/>
      <c r="J4" s="2923"/>
      <c r="K4" s="2923"/>
      <c r="L4" s="2923"/>
      <c r="M4" s="2923"/>
      <c r="N4" s="2923"/>
      <c r="O4" s="2923"/>
      <c r="P4" s="2923"/>
      <c r="Q4" s="2923"/>
      <c r="R4" s="2923"/>
      <c r="S4" s="2923"/>
    </row>
    <row r="5" spans="1:71" s="252" customFormat="1" ht="48" customHeight="1" x14ac:dyDescent="0.2">
      <c r="A5" s="3110" t="s">
        <v>32</v>
      </c>
      <c r="B5" s="3113" t="s">
        <v>33</v>
      </c>
      <c r="C5" s="3116" t="s">
        <v>176</v>
      </c>
      <c r="D5" s="3119" t="s">
        <v>360</v>
      </c>
      <c r="E5" s="3120"/>
      <c r="F5" s="3120"/>
      <c r="G5" s="3120"/>
      <c r="H5" s="3121"/>
      <c r="I5" s="3122"/>
      <c r="J5" s="3123"/>
      <c r="K5" s="3123"/>
      <c r="L5" s="3123"/>
      <c r="M5" s="3124"/>
      <c r="N5" s="3125" t="s">
        <v>214</v>
      </c>
      <c r="O5" s="3120"/>
      <c r="P5" s="3120"/>
      <c r="Q5" s="3120"/>
      <c r="R5" s="3120"/>
      <c r="S5" s="3121"/>
    </row>
    <row r="6" spans="1:71" s="239" customFormat="1" ht="27.75" customHeight="1" x14ac:dyDescent="0.2">
      <c r="A6" s="3111"/>
      <c r="B6" s="3114"/>
      <c r="C6" s="3117"/>
      <c r="D6" s="3126" t="s">
        <v>0</v>
      </c>
      <c r="E6" s="3129" t="s">
        <v>215</v>
      </c>
      <c r="F6" s="3130" t="s">
        <v>216</v>
      </c>
      <c r="G6" s="3144" t="s">
        <v>349</v>
      </c>
      <c r="H6" s="3145"/>
      <c r="I6" s="3132" t="s">
        <v>0</v>
      </c>
      <c r="J6" s="3087" t="s">
        <v>215</v>
      </c>
      <c r="K6" s="3136" t="s">
        <v>216</v>
      </c>
      <c r="L6" s="3087" t="s">
        <v>308</v>
      </c>
      <c r="M6" s="3130" t="s">
        <v>304</v>
      </c>
      <c r="N6" s="3129" t="s">
        <v>217</v>
      </c>
      <c r="O6" s="3148" t="s">
        <v>359</v>
      </c>
      <c r="P6" s="3149"/>
      <c r="Q6" s="3149"/>
      <c r="R6" s="3150"/>
      <c r="S6" s="3141" t="s">
        <v>35</v>
      </c>
    </row>
    <row r="7" spans="1:71" s="239" customFormat="1" ht="27" customHeight="1" x14ac:dyDescent="0.2">
      <c r="A7" s="3111"/>
      <c r="B7" s="3114"/>
      <c r="C7" s="3117"/>
      <c r="D7" s="3127"/>
      <c r="E7" s="3127"/>
      <c r="F7" s="3130"/>
      <c r="G7" s="3087" t="s">
        <v>358</v>
      </c>
      <c r="H7" s="3146" t="s">
        <v>304</v>
      </c>
      <c r="I7" s="3133"/>
      <c r="J7" s="3135"/>
      <c r="K7" s="3137"/>
      <c r="L7" s="3135"/>
      <c r="M7" s="3139"/>
      <c r="N7" s="3087"/>
      <c r="O7" s="3087" t="s">
        <v>355</v>
      </c>
      <c r="P7" s="3139" t="s">
        <v>218</v>
      </c>
      <c r="Q7" s="3139" t="s">
        <v>356</v>
      </c>
      <c r="R7" s="3139"/>
      <c r="S7" s="3142"/>
    </row>
    <row r="8" spans="1:71" s="239" customFormat="1" ht="87.75" customHeight="1" thickBot="1" x14ac:dyDescent="0.25">
      <c r="A8" s="3112"/>
      <c r="B8" s="3115"/>
      <c r="C8" s="3118"/>
      <c r="D8" s="3128"/>
      <c r="E8" s="3128"/>
      <c r="F8" s="3131"/>
      <c r="G8" s="3088"/>
      <c r="H8" s="3147"/>
      <c r="I8" s="3134"/>
      <c r="J8" s="3088"/>
      <c r="K8" s="3138"/>
      <c r="L8" s="3088"/>
      <c r="M8" s="3140"/>
      <c r="N8" s="3088"/>
      <c r="O8" s="3088"/>
      <c r="P8" s="3140"/>
      <c r="Q8" s="3140"/>
      <c r="R8" s="3140"/>
      <c r="S8" s="3143"/>
      <c r="T8" s="300"/>
    </row>
    <row r="9" spans="1:71" s="262" customFormat="1" ht="14.25" customHeight="1" thickBot="1" x14ac:dyDescent="0.25">
      <c r="A9" s="253">
        <v>1</v>
      </c>
      <c r="B9" s="254">
        <v>2</v>
      </c>
      <c r="C9" s="1952">
        <v>3</v>
      </c>
      <c r="D9" s="1953">
        <v>4</v>
      </c>
      <c r="E9" s="1954"/>
      <c r="F9" s="1955"/>
      <c r="G9" s="1954">
        <v>5</v>
      </c>
      <c r="H9" s="1956">
        <v>6</v>
      </c>
      <c r="I9" s="1953">
        <v>7</v>
      </c>
      <c r="J9" s="1954"/>
      <c r="K9" s="1410"/>
      <c r="L9" s="1954">
        <v>8</v>
      </c>
      <c r="M9" s="1955">
        <v>9</v>
      </c>
      <c r="N9" s="1953">
        <v>7</v>
      </c>
      <c r="O9" s="1954">
        <v>8</v>
      </c>
      <c r="P9" s="1954">
        <v>9</v>
      </c>
      <c r="Q9" s="1954">
        <v>10</v>
      </c>
      <c r="R9" s="1954"/>
      <c r="S9" s="1957">
        <v>11</v>
      </c>
    </row>
    <row r="10" spans="1:71" s="271" customFormat="1" ht="18" customHeight="1" thickBot="1" x14ac:dyDescent="0.25">
      <c r="A10" s="1958"/>
      <c r="B10" s="264" t="s">
        <v>220</v>
      </c>
      <c r="C10" s="509"/>
      <c r="D10" s="35">
        <f t="shared" ref="D10:H10" si="0">D11+D12</f>
        <v>165188201</v>
      </c>
      <c r="E10" s="34">
        <f t="shared" si="0"/>
        <v>52065958</v>
      </c>
      <c r="F10" s="34">
        <f t="shared" si="0"/>
        <v>26382051</v>
      </c>
      <c r="G10" s="34">
        <f t="shared" si="0"/>
        <v>42849389</v>
      </c>
      <c r="H10" s="34">
        <f t="shared" si="0"/>
        <v>43890803</v>
      </c>
      <c r="I10" s="35">
        <f t="shared" ref="I10:N10" si="1">I11+I12</f>
        <v>163176811</v>
      </c>
      <c r="J10" s="34">
        <f t="shared" si="1"/>
        <v>52065958</v>
      </c>
      <c r="K10" s="510">
        <f t="shared" si="1"/>
        <v>24370661</v>
      </c>
      <c r="L10" s="34">
        <f t="shared" si="1"/>
        <v>42849389</v>
      </c>
      <c r="M10" s="34">
        <f t="shared" si="1"/>
        <v>43890803</v>
      </c>
      <c r="N10" s="35">
        <f t="shared" si="1"/>
        <v>80619911</v>
      </c>
      <c r="O10" s="156">
        <f>N10/D10*100</f>
        <v>48.804884678173835</v>
      </c>
      <c r="P10" s="34">
        <f>P11+P12</f>
        <v>4183292</v>
      </c>
      <c r="Q10" s="156">
        <f>P10/G10*100</f>
        <v>9.7627809815444522</v>
      </c>
      <c r="R10" s="36">
        <f t="shared" ref="R10:R23" si="2">+P10-L10*0.25</f>
        <v>-6529055.25</v>
      </c>
      <c r="S10" s="269"/>
      <c r="T10" s="270"/>
      <c r="U10" s="239"/>
      <c r="V10" s="239"/>
      <c r="W10" s="239"/>
      <c r="X10" s="239"/>
      <c r="Y10" s="239"/>
      <c r="Z10" s="239"/>
      <c r="AA10" s="239"/>
      <c r="AB10" s="239"/>
      <c r="AC10" s="239"/>
      <c r="AD10" s="239"/>
      <c r="AE10" s="239"/>
      <c r="AF10" s="239"/>
      <c r="AG10" s="239"/>
      <c r="AH10" s="239"/>
      <c r="AI10" s="239"/>
      <c r="AJ10" s="239"/>
      <c r="AK10" s="239"/>
      <c r="AL10" s="239"/>
      <c r="AM10" s="239"/>
      <c r="AN10" s="239"/>
      <c r="AO10" s="239"/>
      <c r="AP10" s="239"/>
      <c r="AQ10" s="239"/>
      <c r="AR10" s="239"/>
      <c r="AS10" s="239"/>
      <c r="AT10" s="239"/>
      <c r="AU10" s="239"/>
      <c r="AV10" s="239"/>
      <c r="AW10" s="239"/>
      <c r="AX10" s="239"/>
      <c r="AY10" s="239"/>
      <c r="AZ10" s="239"/>
      <c r="BA10" s="239"/>
      <c r="BB10" s="239"/>
      <c r="BC10" s="239"/>
      <c r="BD10" s="239"/>
      <c r="BE10" s="239"/>
      <c r="BF10" s="239"/>
      <c r="BG10" s="239"/>
      <c r="BH10" s="239"/>
      <c r="BI10" s="239"/>
      <c r="BJ10" s="239"/>
      <c r="BK10" s="239"/>
      <c r="BL10" s="239"/>
      <c r="BM10" s="239"/>
      <c r="BN10" s="239"/>
      <c r="BO10" s="239"/>
      <c r="BP10" s="239"/>
      <c r="BQ10" s="239"/>
      <c r="BR10" s="239"/>
      <c r="BS10" s="239"/>
    </row>
    <row r="11" spans="1:71" s="271" customFormat="1" ht="15.75" customHeight="1" thickTop="1" thickBot="1" x14ac:dyDescent="0.25">
      <c r="A11" s="1959"/>
      <c r="B11" s="273" t="s">
        <v>221</v>
      </c>
      <c r="C11" s="1960"/>
      <c r="D11" s="1961">
        <f t="shared" ref="D11:H11" si="3">D25+D47+D69+D83</f>
        <v>140225382</v>
      </c>
      <c r="E11" s="1962">
        <f t="shared" si="3"/>
        <v>50651226</v>
      </c>
      <c r="F11" s="1962">
        <f t="shared" si="3"/>
        <v>20731891</v>
      </c>
      <c r="G11" s="1962">
        <f t="shared" si="3"/>
        <v>25070589</v>
      </c>
      <c r="H11" s="528">
        <f t="shared" si="3"/>
        <v>43771676</v>
      </c>
      <c r="I11" s="1961">
        <f t="shared" ref="I11:N11" si="4">I25+I47+I69+I83</f>
        <v>138268355</v>
      </c>
      <c r="J11" s="1962">
        <f t="shared" si="4"/>
        <v>50651226</v>
      </c>
      <c r="K11" s="1963">
        <f t="shared" si="4"/>
        <v>18774864</v>
      </c>
      <c r="L11" s="1962">
        <f t="shared" si="4"/>
        <v>25070589</v>
      </c>
      <c r="M11" s="528">
        <f t="shared" si="4"/>
        <v>43771676</v>
      </c>
      <c r="N11" s="1961">
        <f t="shared" si="4"/>
        <v>73579159</v>
      </c>
      <c r="O11" s="157">
        <f t="shared" ref="O11:O74" si="5">N11/D11*100</f>
        <v>52.472068858403965</v>
      </c>
      <c r="P11" s="1962">
        <f>P25+P47+P69+P83</f>
        <v>4153069</v>
      </c>
      <c r="Q11" s="157">
        <f>P11/G11*100</f>
        <v>16.56550231029674</v>
      </c>
      <c r="R11" s="528">
        <f t="shared" si="2"/>
        <v>-2114578.25</v>
      </c>
      <c r="S11" s="269"/>
      <c r="T11" s="270"/>
      <c r="U11" s="239"/>
      <c r="V11" s="239"/>
      <c r="W11" s="239"/>
      <c r="X11" s="239"/>
      <c r="Y11" s="239"/>
      <c r="Z11" s="239"/>
      <c r="AA11" s="239"/>
      <c r="AB11" s="239"/>
      <c r="AC11" s="239"/>
      <c r="AD11" s="239"/>
      <c r="AE11" s="239"/>
      <c r="AF11" s="239"/>
      <c r="AG11" s="239"/>
      <c r="AH11" s="239"/>
      <c r="AI11" s="239"/>
      <c r="AJ11" s="239"/>
      <c r="AK11" s="239"/>
      <c r="AL11" s="239"/>
      <c r="AM11" s="239"/>
      <c r="AN11" s="239"/>
      <c r="AO11" s="239"/>
      <c r="AP11" s="239"/>
      <c r="AQ11" s="239"/>
      <c r="AR11" s="239"/>
      <c r="AS11" s="239"/>
      <c r="AT11" s="239"/>
      <c r="AU11" s="239"/>
      <c r="AV11" s="239"/>
      <c r="AW11" s="239"/>
      <c r="AX11" s="239"/>
      <c r="AY11" s="239"/>
      <c r="AZ11" s="239"/>
      <c r="BA11" s="239"/>
      <c r="BB11" s="239"/>
      <c r="BC11" s="239"/>
      <c r="BD11" s="239"/>
      <c r="BE11" s="239"/>
      <c r="BF11" s="239"/>
      <c r="BG11" s="239"/>
      <c r="BH11" s="239"/>
      <c r="BI11" s="239"/>
      <c r="BJ11" s="239"/>
      <c r="BK11" s="239"/>
      <c r="BL11" s="239"/>
      <c r="BM11" s="239"/>
      <c r="BN11" s="239"/>
      <c r="BO11" s="239"/>
      <c r="BP11" s="239"/>
      <c r="BQ11" s="239"/>
      <c r="BR11" s="239"/>
      <c r="BS11" s="239"/>
    </row>
    <row r="12" spans="1:71" s="271" customFormat="1" ht="15.75" customHeight="1" thickTop="1" thickBot="1" x14ac:dyDescent="0.25">
      <c r="A12" s="1959"/>
      <c r="B12" s="523" t="s">
        <v>222</v>
      </c>
      <c r="C12" s="524"/>
      <c r="D12" s="1419">
        <f t="shared" ref="D12:H12" si="6">D36+D58+D76+D94</f>
        <v>24962819</v>
      </c>
      <c r="E12" s="1420">
        <f t="shared" si="6"/>
        <v>1414732</v>
      </c>
      <c r="F12" s="1420">
        <f t="shared" si="6"/>
        <v>5650160</v>
      </c>
      <c r="G12" s="1420">
        <f t="shared" si="6"/>
        <v>17778800</v>
      </c>
      <c r="H12" s="291">
        <f t="shared" si="6"/>
        <v>119127</v>
      </c>
      <c r="I12" s="1419">
        <f t="shared" ref="I12:N12" si="7">I36+I58+I76+I94</f>
        <v>24908456</v>
      </c>
      <c r="J12" s="1420">
        <f t="shared" si="7"/>
        <v>1414732</v>
      </c>
      <c r="K12" s="1964">
        <f t="shared" si="7"/>
        <v>5595797</v>
      </c>
      <c r="L12" s="1420">
        <f t="shared" si="7"/>
        <v>17778800</v>
      </c>
      <c r="M12" s="291">
        <f t="shared" si="7"/>
        <v>119127</v>
      </c>
      <c r="N12" s="1419">
        <f t="shared" si="7"/>
        <v>7040752</v>
      </c>
      <c r="O12" s="162">
        <f t="shared" si="5"/>
        <v>28.204955538074444</v>
      </c>
      <c r="P12" s="1420">
        <f>P36+P58+P76+P94</f>
        <v>30223</v>
      </c>
      <c r="Q12" s="162">
        <f t="shared" ref="Q12:Q14" si="8">P12/G12*100</f>
        <v>0.16999460031048214</v>
      </c>
      <c r="R12" s="528">
        <f t="shared" si="2"/>
        <v>-4414477</v>
      </c>
      <c r="S12" s="269"/>
      <c r="T12" s="270"/>
      <c r="U12" s="239"/>
      <c r="V12" s="239"/>
      <c r="W12" s="239"/>
      <c r="X12" s="239"/>
      <c r="Y12" s="239"/>
      <c r="Z12" s="239"/>
      <c r="AA12" s="239"/>
      <c r="AB12" s="239"/>
      <c r="AC12" s="239"/>
      <c r="AD12" s="239"/>
      <c r="AE12" s="239"/>
      <c r="AF12" s="239"/>
      <c r="AG12" s="239"/>
      <c r="AH12" s="239"/>
      <c r="AI12" s="239"/>
      <c r="AJ12" s="239"/>
      <c r="AK12" s="239"/>
      <c r="AL12" s="239"/>
      <c r="AM12" s="239"/>
      <c r="AN12" s="239"/>
      <c r="AO12" s="239"/>
      <c r="AP12" s="239"/>
      <c r="AQ12" s="239"/>
      <c r="AR12" s="239"/>
      <c r="AS12" s="239"/>
      <c r="AT12" s="239"/>
      <c r="AU12" s="239"/>
      <c r="AV12" s="239"/>
      <c r="AW12" s="239"/>
      <c r="AX12" s="239"/>
      <c r="AY12" s="239"/>
      <c r="AZ12" s="239"/>
      <c r="BA12" s="239"/>
      <c r="BB12" s="239"/>
      <c r="BC12" s="239"/>
      <c r="BD12" s="239"/>
      <c r="BE12" s="239"/>
      <c r="BF12" s="239"/>
      <c r="BG12" s="239"/>
      <c r="BH12" s="239"/>
      <c r="BI12" s="239"/>
      <c r="BJ12" s="239"/>
      <c r="BK12" s="239"/>
      <c r="BL12" s="239"/>
      <c r="BM12" s="239"/>
      <c r="BN12" s="239"/>
      <c r="BO12" s="239"/>
      <c r="BP12" s="239"/>
      <c r="BQ12" s="239"/>
      <c r="BR12" s="239"/>
      <c r="BS12" s="239"/>
    </row>
    <row r="13" spans="1:71" s="1748" customFormat="1" ht="13.5" customHeight="1" x14ac:dyDescent="0.2">
      <c r="A13" s="3151"/>
      <c r="B13" s="529" t="s">
        <v>3</v>
      </c>
      <c r="C13" s="530"/>
      <c r="D13" s="1774">
        <f>+D14+D17</f>
        <v>165188201</v>
      </c>
      <c r="E13" s="1776">
        <f t="shared" ref="E13:H13" si="9">+E14+E17</f>
        <v>52065958</v>
      </c>
      <c r="F13" s="1776">
        <f t="shared" si="9"/>
        <v>26382051</v>
      </c>
      <c r="G13" s="1776">
        <f t="shared" si="9"/>
        <v>42849389</v>
      </c>
      <c r="H13" s="1776">
        <f t="shared" si="9"/>
        <v>43890803</v>
      </c>
      <c r="I13" s="1774">
        <f>+I14+I17</f>
        <v>163176811</v>
      </c>
      <c r="J13" s="1776">
        <f t="shared" ref="J13:N13" si="10">+J14+J17</f>
        <v>52065958</v>
      </c>
      <c r="K13" s="1776">
        <f t="shared" si="10"/>
        <v>24370661</v>
      </c>
      <c r="L13" s="1776">
        <f t="shared" si="10"/>
        <v>42849389</v>
      </c>
      <c r="M13" s="1776">
        <f t="shared" si="10"/>
        <v>43890803</v>
      </c>
      <c r="N13" s="1965">
        <f t="shared" si="10"/>
        <v>80619911</v>
      </c>
      <c r="O13" s="536">
        <f t="shared" si="5"/>
        <v>48.804884678173835</v>
      </c>
      <c r="P13" s="1778">
        <f>+P14+P17</f>
        <v>4183292</v>
      </c>
      <c r="Q13" s="536">
        <f t="shared" si="8"/>
        <v>9.7627809815444522</v>
      </c>
      <c r="R13" s="1778">
        <f t="shared" si="2"/>
        <v>-6529055.25</v>
      </c>
      <c r="S13" s="3152" t="s">
        <v>97</v>
      </c>
      <c r="T13" s="1966"/>
      <c r="U13" s="1779"/>
    </row>
    <row r="14" spans="1:71" s="1786" customFormat="1" ht="14.25" customHeight="1" x14ac:dyDescent="0.2">
      <c r="A14" s="3064"/>
      <c r="B14" s="1780" t="s">
        <v>4</v>
      </c>
      <c r="C14" s="3069" t="s">
        <v>97</v>
      </c>
      <c r="D14" s="1781">
        <f t="shared" ref="D14:H14" si="11">+D15+D16</f>
        <v>6843292</v>
      </c>
      <c r="E14" s="1783">
        <f t="shared" si="11"/>
        <v>425138</v>
      </c>
      <c r="F14" s="1783">
        <f t="shared" si="11"/>
        <v>1593871</v>
      </c>
      <c r="G14" s="1783">
        <f t="shared" si="11"/>
        <v>4574424</v>
      </c>
      <c r="H14" s="1783">
        <f t="shared" si="11"/>
        <v>249859</v>
      </c>
      <c r="I14" s="1781">
        <f t="shared" ref="I14:N14" si="12">+I15+I16</f>
        <v>6795929</v>
      </c>
      <c r="J14" s="1783">
        <f t="shared" si="12"/>
        <v>425138</v>
      </c>
      <c r="K14" s="1783">
        <f t="shared" si="12"/>
        <v>1546508</v>
      </c>
      <c r="L14" s="1783">
        <f t="shared" si="12"/>
        <v>4574424</v>
      </c>
      <c r="M14" s="1783">
        <f t="shared" si="12"/>
        <v>249859</v>
      </c>
      <c r="N14" s="1967">
        <f t="shared" si="12"/>
        <v>1987533</v>
      </c>
      <c r="O14" s="545">
        <f t="shared" si="5"/>
        <v>29.043521743628652</v>
      </c>
      <c r="P14" s="1785">
        <f>+P15+P16</f>
        <v>15887</v>
      </c>
      <c r="Q14" s="545">
        <f t="shared" si="8"/>
        <v>0.34730055631047752</v>
      </c>
      <c r="R14" s="1785">
        <f t="shared" si="2"/>
        <v>-1127719</v>
      </c>
      <c r="S14" s="3153"/>
      <c r="T14" s="537"/>
      <c r="U14" s="250"/>
      <c r="V14" s="250"/>
      <c r="W14" s="250"/>
      <c r="X14" s="250"/>
      <c r="Y14" s="250"/>
      <c r="Z14" s="250"/>
      <c r="AA14" s="250"/>
      <c r="AB14" s="250"/>
      <c r="AC14" s="250"/>
      <c r="AD14" s="250"/>
      <c r="AE14" s="250"/>
    </row>
    <row r="15" spans="1:71" s="1793" customFormat="1" ht="13.5" customHeight="1" x14ac:dyDescent="0.2">
      <c r="A15" s="3064"/>
      <c r="B15" s="1787" t="s">
        <v>5</v>
      </c>
      <c r="C15" s="3069"/>
      <c r="D15" s="1788">
        <f t="shared" ref="D15:H15" si="13">D96</f>
        <v>5750000</v>
      </c>
      <c r="E15" s="1790">
        <f t="shared" si="13"/>
        <v>9225</v>
      </c>
      <c r="F15" s="1790">
        <f t="shared" si="13"/>
        <v>1371075</v>
      </c>
      <c r="G15" s="1790">
        <f t="shared" si="13"/>
        <v>4369700</v>
      </c>
      <c r="H15" s="1791">
        <f t="shared" si="13"/>
        <v>0</v>
      </c>
      <c r="I15" s="1788">
        <f t="shared" ref="I15:P15" si="14">I96</f>
        <v>5722545</v>
      </c>
      <c r="J15" s="1790">
        <f t="shared" si="14"/>
        <v>9225</v>
      </c>
      <c r="K15" s="1790">
        <f t="shared" si="14"/>
        <v>1343620</v>
      </c>
      <c r="L15" s="1790">
        <f t="shared" si="14"/>
        <v>4369700</v>
      </c>
      <c r="M15" s="1791">
        <f t="shared" si="14"/>
        <v>0</v>
      </c>
      <c r="N15" s="1968">
        <f t="shared" si="14"/>
        <v>1360401</v>
      </c>
      <c r="O15" s="555">
        <f t="shared" si="5"/>
        <v>23.659147826086958</v>
      </c>
      <c r="P15" s="1792">
        <f t="shared" si="14"/>
        <v>7556</v>
      </c>
      <c r="Q15" s="555">
        <f>P15/G15*100</f>
        <v>0.17291804929400187</v>
      </c>
      <c r="R15" s="1792">
        <f t="shared" si="2"/>
        <v>-1084869</v>
      </c>
      <c r="S15" s="3153"/>
      <c r="T15" s="537"/>
    </row>
    <row r="16" spans="1:71" s="1793" customFormat="1" ht="12.75" customHeight="1" x14ac:dyDescent="0.2">
      <c r="A16" s="3064"/>
      <c r="B16" s="588" t="s">
        <v>8</v>
      </c>
      <c r="C16" s="3069"/>
      <c r="D16" s="1788">
        <f t="shared" ref="D16:H16" si="15">D27+D38+D49+D60+D85</f>
        <v>1093292</v>
      </c>
      <c r="E16" s="1790">
        <f t="shared" si="15"/>
        <v>415913</v>
      </c>
      <c r="F16" s="1790">
        <f t="shared" si="15"/>
        <v>222796</v>
      </c>
      <c r="G16" s="1790">
        <f t="shared" si="15"/>
        <v>204724</v>
      </c>
      <c r="H16" s="1791">
        <f t="shared" si="15"/>
        <v>249859</v>
      </c>
      <c r="I16" s="1788">
        <f t="shared" ref="I16:P16" si="16">I27+I38+I49+I60+I85</f>
        <v>1073384</v>
      </c>
      <c r="J16" s="1790">
        <f t="shared" si="16"/>
        <v>415913</v>
      </c>
      <c r="K16" s="1790">
        <f t="shared" si="16"/>
        <v>202888</v>
      </c>
      <c r="L16" s="1790">
        <f t="shared" si="16"/>
        <v>204724</v>
      </c>
      <c r="M16" s="1791">
        <f t="shared" si="16"/>
        <v>249859</v>
      </c>
      <c r="N16" s="1968">
        <f t="shared" si="16"/>
        <v>627132</v>
      </c>
      <c r="O16" s="1795">
        <f t="shared" si="5"/>
        <v>57.361802702297283</v>
      </c>
      <c r="P16" s="1792">
        <f t="shared" si="16"/>
        <v>8331</v>
      </c>
      <c r="Q16" s="1795">
        <f t="shared" ref="Q16:Q79" si="17">P16/G16*100</f>
        <v>4.0693812156855085</v>
      </c>
      <c r="R16" s="1792">
        <f t="shared" si="2"/>
        <v>-42850</v>
      </c>
      <c r="S16" s="3153"/>
      <c r="T16" s="537"/>
    </row>
    <row r="17" spans="1:31" s="1786" customFormat="1" ht="13.5" customHeight="1" x14ac:dyDescent="0.2">
      <c r="A17" s="3064"/>
      <c r="B17" s="1433" t="s">
        <v>13</v>
      </c>
      <c r="C17" s="3069"/>
      <c r="D17" s="1781">
        <f t="shared" ref="D17:N17" si="18">D18</f>
        <v>158344909</v>
      </c>
      <c r="E17" s="1783">
        <f t="shared" si="18"/>
        <v>51640820</v>
      </c>
      <c r="F17" s="1783">
        <f t="shared" si="18"/>
        <v>24788180</v>
      </c>
      <c r="G17" s="1783">
        <f t="shared" si="18"/>
        <v>38274965</v>
      </c>
      <c r="H17" s="1784">
        <f t="shared" si="18"/>
        <v>43640944</v>
      </c>
      <c r="I17" s="1781">
        <f t="shared" si="18"/>
        <v>156380882</v>
      </c>
      <c r="J17" s="1783">
        <f t="shared" si="18"/>
        <v>51640820</v>
      </c>
      <c r="K17" s="1783">
        <f t="shared" si="18"/>
        <v>22824153</v>
      </c>
      <c r="L17" s="1783">
        <f t="shared" si="18"/>
        <v>38274965</v>
      </c>
      <c r="M17" s="1784">
        <f t="shared" si="18"/>
        <v>43640944</v>
      </c>
      <c r="N17" s="1967">
        <f t="shared" si="18"/>
        <v>78632378</v>
      </c>
      <c r="O17" s="1794">
        <f t="shared" si="5"/>
        <v>49.658923988519263</v>
      </c>
      <c r="P17" s="1785">
        <f>P18</f>
        <v>4167405</v>
      </c>
      <c r="Q17" s="1794">
        <f t="shared" si="17"/>
        <v>10.888070047875942</v>
      </c>
      <c r="R17" s="1785">
        <f t="shared" si="2"/>
        <v>-5401336.25</v>
      </c>
      <c r="S17" s="3153"/>
      <c r="T17" s="537"/>
      <c r="U17" s="1440"/>
      <c r="V17" s="1440"/>
      <c r="W17" s="1440"/>
      <c r="X17" s="1440"/>
      <c r="Y17" s="1440"/>
      <c r="Z17" s="1440"/>
      <c r="AA17" s="1440"/>
      <c r="AB17" s="1440"/>
      <c r="AC17" s="1440"/>
      <c r="AD17" s="1440"/>
      <c r="AE17" s="1440"/>
    </row>
    <row r="18" spans="1:31" s="1796" customFormat="1" ht="14.1" customHeight="1" x14ac:dyDescent="0.2">
      <c r="A18" s="3064"/>
      <c r="B18" s="1969" t="s">
        <v>15</v>
      </c>
      <c r="C18" s="3069"/>
      <c r="D18" s="1788">
        <f t="shared" ref="D18:H18" si="19">D29+D40+D51+D62+D71+D78+D87+D98</f>
        <v>158344909</v>
      </c>
      <c r="E18" s="1790">
        <f t="shared" si="19"/>
        <v>51640820</v>
      </c>
      <c r="F18" s="1790">
        <f t="shared" si="19"/>
        <v>24788180</v>
      </c>
      <c r="G18" s="1790">
        <f t="shared" si="19"/>
        <v>38274965</v>
      </c>
      <c r="H18" s="1791">
        <f t="shared" si="19"/>
        <v>43640944</v>
      </c>
      <c r="I18" s="1788">
        <f t="shared" ref="I18:N18" si="20">I29+I40+I51+I62+I71+I78+I87+I98</f>
        <v>156380882</v>
      </c>
      <c r="J18" s="1790">
        <f t="shared" si="20"/>
        <v>51640820</v>
      </c>
      <c r="K18" s="1790">
        <f t="shared" si="20"/>
        <v>22824153</v>
      </c>
      <c r="L18" s="1790">
        <f t="shared" si="20"/>
        <v>38274965</v>
      </c>
      <c r="M18" s="1791">
        <f t="shared" si="20"/>
        <v>43640944</v>
      </c>
      <c r="N18" s="1968">
        <f t="shared" si="20"/>
        <v>78632378</v>
      </c>
      <c r="O18" s="1795">
        <f t="shared" si="5"/>
        <v>49.658923988519263</v>
      </c>
      <c r="P18" s="1792">
        <f>P29+P40+P51+P62+P71+P78+P87+P98</f>
        <v>4167405</v>
      </c>
      <c r="Q18" s="1795">
        <f t="shared" si="17"/>
        <v>10.888070047875942</v>
      </c>
      <c r="R18" s="1792">
        <f t="shared" si="2"/>
        <v>-5401336.25</v>
      </c>
      <c r="S18" s="3153"/>
      <c r="T18" s="537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</row>
    <row r="19" spans="1:31" s="1796" customFormat="1" ht="14.1" customHeight="1" x14ac:dyDescent="0.2">
      <c r="A19" s="3064"/>
      <c r="B19" s="565" t="s">
        <v>17</v>
      </c>
      <c r="C19" s="1797"/>
      <c r="D19" s="1798">
        <f t="shared" ref="D19:H19" si="21">+D20+D22</f>
        <v>159438201</v>
      </c>
      <c r="E19" s="1474">
        <f t="shared" si="21"/>
        <v>51784838</v>
      </c>
      <c r="F19" s="1474">
        <f t="shared" si="21"/>
        <v>24824422</v>
      </c>
      <c r="G19" s="1474">
        <f t="shared" si="21"/>
        <v>44500011</v>
      </c>
      <c r="H19" s="1479">
        <f t="shared" si="21"/>
        <v>38328930</v>
      </c>
      <c r="I19" s="1798">
        <f t="shared" ref="I19:P19" si="22">+I20+I22</f>
        <v>158621256</v>
      </c>
      <c r="J19" s="1474">
        <f t="shared" si="22"/>
        <v>51784838</v>
      </c>
      <c r="K19" s="1474">
        <f t="shared" si="22"/>
        <v>24007477</v>
      </c>
      <c r="L19" s="1474">
        <f t="shared" si="22"/>
        <v>44500011</v>
      </c>
      <c r="M19" s="1479">
        <f t="shared" si="22"/>
        <v>38328930</v>
      </c>
      <c r="N19" s="1697">
        <f t="shared" si="22"/>
        <v>83612799</v>
      </c>
      <c r="O19" s="1970">
        <f t="shared" si="5"/>
        <v>52.442136499018829</v>
      </c>
      <c r="P19" s="1479">
        <f t="shared" si="22"/>
        <v>7820484</v>
      </c>
      <c r="Q19" s="1970">
        <f t="shared" si="17"/>
        <v>17.574117004150853</v>
      </c>
      <c r="R19" s="1479">
        <f t="shared" si="2"/>
        <v>-3304518.75</v>
      </c>
      <c r="S19" s="3153"/>
      <c r="T19" s="537"/>
      <c r="U19" s="239"/>
      <c r="V19" s="239"/>
      <c r="W19" s="239"/>
      <c r="X19" s="239"/>
      <c r="Y19" s="239"/>
      <c r="Z19" s="239"/>
      <c r="AA19" s="239"/>
      <c r="AB19" s="239"/>
      <c r="AC19" s="239"/>
      <c r="AD19" s="239"/>
      <c r="AE19" s="239"/>
    </row>
    <row r="20" spans="1:31" s="1786" customFormat="1" ht="13.5" customHeight="1" x14ac:dyDescent="0.2">
      <c r="A20" s="3064"/>
      <c r="B20" s="1780" t="s">
        <v>4</v>
      </c>
      <c r="C20" s="3069" t="s">
        <v>97</v>
      </c>
      <c r="D20" s="1781">
        <f t="shared" ref="D20:P20" si="23">D21</f>
        <v>1093292</v>
      </c>
      <c r="E20" s="1783">
        <f t="shared" si="23"/>
        <v>405333</v>
      </c>
      <c r="F20" s="1783">
        <f t="shared" si="23"/>
        <v>222796</v>
      </c>
      <c r="G20" s="1783">
        <f t="shared" si="23"/>
        <v>204724</v>
      </c>
      <c r="H20" s="1785">
        <f t="shared" si="23"/>
        <v>260439</v>
      </c>
      <c r="I20" s="1781">
        <f t="shared" si="23"/>
        <v>1075937</v>
      </c>
      <c r="J20" s="1783">
        <f t="shared" si="23"/>
        <v>405333</v>
      </c>
      <c r="K20" s="1783">
        <f t="shared" si="23"/>
        <v>205441</v>
      </c>
      <c r="L20" s="1783">
        <f t="shared" si="23"/>
        <v>204724</v>
      </c>
      <c r="M20" s="1785">
        <f t="shared" si="23"/>
        <v>260439</v>
      </c>
      <c r="N20" s="1967">
        <f t="shared" si="23"/>
        <v>610774</v>
      </c>
      <c r="O20" s="1794">
        <f t="shared" si="5"/>
        <v>55.865587601482488</v>
      </c>
      <c r="P20" s="1785">
        <f t="shared" si="23"/>
        <v>0</v>
      </c>
      <c r="Q20" s="1794">
        <f t="shared" si="17"/>
        <v>0</v>
      </c>
      <c r="R20" s="1785">
        <f t="shared" si="2"/>
        <v>-51181</v>
      </c>
      <c r="S20" s="3153"/>
      <c r="T20" s="537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</row>
    <row r="21" spans="1:31" s="1796" customFormat="1" ht="12" customHeight="1" x14ac:dyDescent="0.2">
      <c r="A21" s="3064"/>
      <c r="B21" s="588" t="s">
        <v>8</v>
      </c>
      <c r="C21" s="3069"/>
      <c r="D21" s="1788">
        <f t="shared" ref="D21:H21" si="24">D32+D43+D54+D65+D90</f>
        <v>1093292</v>
      </c>
      <c r="E21" s="1790">
        <f t="shared" si="24"/>
        <v>405333</v>
      </c>
      <c r="F21" s="1790">
        <f t="shared" si="24"/>
        <v>222796</v>
      </c>
      <c r="G21" s="1790">
        <f t="shared" si="24"/>
        <v>204724</v>
      </c>
      <c r="H21" s="1792">
        <f t="shared" si="24"/>
        <v>260439</v>
      </c>
      <c r="I21" s="1788">
        <f t="shared" ref="I21:N21" si="25">I32+I43+I54+I65+I90</f>
        <v>1075937</v>
      </c>
      <c r="J21" s="1790">
        <f t="shared" si="25"/>
        <v>405333</v>
      </c>
      <c r="K21" s="1790">
        <f t="shared" si="25"/>
        <v>205441</v>
      </c>
      <c r="L21" s="1790">
        <f t="shared" si="25"/>
        <v>204724</v>
      </c>
      <c r="M21" s="1792">
        <f t="shared" si="25"/>
        <v>260439</v>
      </c>
      <c r="N21" s="1968">
        <f t="shared" si="25"/>
        <v>610774</v>
      </c>
      <c r="O21" s="1795">
        <f t="shared" si="5"/>
        <v>55.865587601482488</v>
      </c>
      <c r="P21" s="1792">
        <f>P32+P43+P54+P65+P90</f>
        <v>0</v>
      </c>
      <c r="Q21" s="1795">
        <f t="shared" si="17"/>
        <v>0</v>
      </c>
      <c r="R21" s="1792">
        <f t="shared" si="2"/>
        <v>-51181</v>
      </c>
      <c r="S21" s="3153"/>
      <c r="T21" s="537"/>
      <c r="U21" s="239"/>
      <c r="V21" s="239"/>
      <c r="W21" s="239"/>
      <c r="X21" s="239"/>
      <c r="Y21" s="239"/>
      <c r="Z21" s="239"/>
      <c r="AA21" s="239"/>
      <c r="AB21" s="239"/>
      <c r="AC21" s="239"/>
      <c r="AD21" s="239"/>
      <c r="AE21" s="239"/>
    </row>
    <row r="22" spans="1:31" s="1786" customFormat="1" ht="14.1" customHeight="1" x14ac:dyDescent="0.2">
      <c r="A22" s="3064"/>
      <c r="B22" s="1433" t="s">
        <v>13</v>
      </c>
      <c r="C22" s="3069"/>
      <c r="D22" s="1781">
        <f t="shared" ref="D22:P22" si="26">D23</f>
        <v>158344909</v>
      </c>
      <c r="E22" s="1783">
        <f t="shared" si="26"/>
        <v>51379505</v>
      </c>
      <c r="F22" s="1783">
        <f t="shared" si="26"/>
        <v>24601626</v>
      </c>
      <c r="G22" s="1783">
        <f t="shared" si="26"/>
        <v>44295287</v>
      </c>
      <c r="H22" s="1785">
        <f t="shared" si="26"/>
        <v>38068491</v>
      </c>
      <c r="I22" s="1781">
        <f t="shared" si="26"/>
        <v>157545319</v>
      </c>
      <c r="J22" s="1783">
        <f t="shared" si="26"/>
        <v>51379505</v>
      </c>
      <c r="K22" s="1783">
        <f t="shared" si="26"/>
        <v>23802036</v>
      </c>
      <c r="L22" s="1783">
        <f t="shared" si="26"/>
        <v>44295287</v>
      </c>
      <c r="M22" s="1785">
        <f t="shared" si="26"/>
        <v>38068491</v>
      </c>
      <c r="N22" s="1967">
        <f t="shared" si="26"/>
        <v>83002025</v>
      </c>
      <c r="O22" s="1795">
        <f t="shared" si="5"/>
        <v>52.418499290052956</v>
      </c>
      <c r="P22" s="1785">
        <f t="shared" si="26"/>
        <v>7820484</v>
      </c>
      <c r="Q22" s="1795">
        <f t="shared" si="17"/>
        <v>17.655341074999694</v>
      </c>
      <c r="R22" s="1785">
        <f t="shared" si="2"/>
        <v>-3253337.75</v>
      </c>
      <c r="S22" s="3153"/>
      <c r="T22" s="537"/>
      <c r="U22" s="1440"/>
      <c r="V22" s="1440"/>
      <c r="W22" s="1440"/>
      <c r="X22" s="1440"/>
      <c r="Y22" s="1440"/>
      <c r="Z22" s="1440"/>
      <c r="AA22" s="1440"/>
      <c r="AB22" s="1440"/>
      <c r="AC22" s="1440"/>
      <c r="AD22" s="1440"/>
      <c r="AE22" s="1440"/>
    </row>
    <row r="23" spans="1:31" s="1796" customFormat="1" ht="13.5" thickBot="1" x14ac:dyDescent="0.25">
      <c r="A23" s="3065"/>
      <c r="B23" s="1800" t="s">
        <v>15</v>
      </c>
      <c r="C23" s="3070"/>
      <c r="D23" s="1801">
        <f t="shared" ref="D23:H23" si="27">D34+D45+D56+D67+D74+D81+D92+D101</f>
        <v>158344909</v>
      </c>
      <c r="E23" s="1803">
        <f t="shared" si="27"/>
        <v>51379505</v>
      </c>
      <c r="F23" s="1803">
        <f t="shared" si="27"/>
        <v>24601626</v>
      </c>
      <c r="G23" s="1803">
        <f t="shared" si="27"/>
        <v>44295287</v>
      </c>
      <c r="H23" s="1805">
        <f t="shared" si="27"/>
        <v>38068491</v>
      </c>
      <c r="I23" s="1801">
        <f t="shared" ref="I23:N23" si="28">I34+I45+I56+I67+I74+I81+I92+I101</f>
        <v>157545319</v>
      </c>
      <c r="J23" s="1803">
        <f t="shared" si="28"/>
        <v>51379505</v>
      </c>
      <c r="K23" s="1803">
        <f t="shared" si="28"/>
        <v>23802036</v>
      </c>
      <c r="L23" s="1803">
        <f t="shared" si="28"/>
        <v>44295287</v>
      </c>
      <c r="M23" s="1805">
        <f t="shared" si="28"/>
        <v>38068491</v>
      </c>
      <c r="N23" s="1971">
        <f t="shared" si="28"/>
        <v>83002025</v>
      </c>
      <c r="O23" s="1795">
        <f t="shared" si="5"/>
        <v>52.418499290052956</v>
      </c>
      <c r="P23" s="1805">
        <f>P34+P45+P56+P67+P74+P81+P92+P101</f>
        <v>7820484</v>
      </c>
      <c r="Q23" s="1795">
        <f t="shared" si="17"/>
        <v>17.655341074999694</v>
      </c>
      <c r="R23" s="1805">
        <f t="shared" si="2"/>
        <v>-3253337.75</v>
      </c>
      <c r="S23" s="3154"/>
      <c r="T23" s="537"/>
      <c r="U23" s="239"/>
      <c r="V23" s="239"/>
      <c r="W23" s="239"/>
      <c r="X23" s="239"/>
      <c r="Y23" s="239"/>
      <c r="Z23" s="239"/>
      <c r="AA23" s="239"/>
      <c r="AB23" s="239"/>
      <c r="AC23" s="239"/>
      <c r="AD23" s="239"/>
      <c r="AE23" s="239"/>
    </row>
    <row r="24" spans="1:31" s="493" customFormat="1" ht="39.75" customHeight="1" x14ac:dyDescent="0.2">
      <c r="A24" s="3096" t="s">
        <v>40</v>
      </c>
      <c r="B24" s="1972" t="s">
        <v>189</v>
      </c>
      <c r="C24" s="1687" t="s">
        <v>233</v>
      </c>
      <c r="D24" s="1688"/>
      <c r="E24" s="4"/>
      <c r="F24" s="4"/>
      <c r="G24" s="4"/>
      <c r="H24" s="1932"/>
      <c r="I24" s="1688"/>
      <c r="J24" s="4"/>
      <c r="K24" s="4"/>
      <c r="L24" s="4"/>
      <c r="M24" s="1932"/>
      <c r="N24" s="1688"/>
      <c r="O24" s="1973"/>
      <c r="P24" s="4"/>
      <c r="Q24" s="1973"/>
      <c r="R24" s="4"/>
      <c r="S24" s="3107" t="s">
        <v>190</v>
      </c>
      <c r="T24" s="537"/>
    </row>
    <row r="25" spans="1:31" s="493" customFormat="1" ht="15" customHeight="1" x14ac:dyDescent="0.2">
      <c r="A25" s="3097"/>
      <c r="B25" s="565" t="s">
        <v>3</v>
      </c>
      <c r="C25" s="1694"/>
      <c r="D25" s="1697">
        <f t="shared" ref="D25:H25" si="29">+D26+D28</f>
        <v>5208400</v>
      </c>
      <c r="E25" s="1479">
        <f t="shared" si="29"/>
        <v>1550983</v>
      </c>
      <c r="F25" s="1479">
        <f t="shared" si="29"/>
        <v>942552</v>
      </c>
      <c r="G25" s="1479">
        <f t="shared" si="29"/>
        <v>1049145</v>
      </c>
      <c r="H25" s="1479">
        <f t="shared" si="29"/>
        <v>1665720</v>
      </c>
      <c r="I25" s="1697">
        <f t="shared" ref="I25:M25" si="30">+I26+I28</f>
        <v>5117038</v>
      </c>
      <c r="J25" s="1479">
        <f t="shared" si="30"/>
        <v>1550983</v>
      </c>
      <c r="K25" s="1479">
        <f t="shared" si="30"/>
        <v>851190</v>
      </c>
      <c r="L25" s="1479">
        <f t="shared" si="30"/>
        <v>1049145</v>
      </c>
      <c r="M25" s="1479">
        <f t="shared" si="30"/>
        <v>1665720</v>
      </c>
      <c r="N25" s="1697">
        <f>+N26+N28</f>
        <v>2402539</v>
      </c>
      <c r="O25" s="1699">
        <f t="shared" si="5"/>
        <v>46.128158359572993</v>
      </c>
      <c r="P25" s="1479">
        <f>+P26+P28</f>
        <v>366</v>
      </c>
      <c r="Q25" s="1699">
        <f t="shared" si="17"/>
        <v>3.4885549661867521E-2</v>
      </c>
      <c r="R25" s="1479">
        <f t="shared" ref="R25:R34" si="31">+P25-L25*0.25</f>
        <v>-261920.25</v>
      </c>
      <c r="S25" s="3155"/>
      <c r="T25" s="537"/>
      <c r="U25" s="537"/>
    </row>
    <row r="26" spans="1:31" s="493" customFormat="1" ht="15" customHeight="1" x14ac:dyDescent="0.2">
      <c r="A26" s="3097"/>
      <c r="B26" s="925" t="s">
        <v>18</v>
      </c>
      <c r="C26" s="3027" t="s">
        <v>177</v>
      </c>
      <c r="D26" s="1974">
        <f t="shared" ref="D26:N26" si="32">+D27</f>
        <v>781260</v>
      </c>
      <c r="E26" s="1657">
        <f t="shared" si="32"/>
        <v>232646</v>
      </c>
      <c r="F26" s="1657">
        <f t="shared" si="32"/>
        <v>141383</v>
      </c>
      <c r="G26" s="1657">
        <f t="shared" si="32"/>
        <v>157372</v>
      </c>
      <c r="H26" s="1657">
        <f t="shared" si="32"/>
        <v>249859</v>
      </c>
      <c r="I26" s="1974">
        <f t="shared" si="32"/>
        <v>767556</v>
      </c>
      <c r="J26" s="1657">
        <f t="shared" si="32"/>
        <v>232646</v>
      </c>
      <c r="K26" s="1657">
        <f t="shared" si="32"/>
        <v>127679</v>
      </c>
      <c r="L26" s="1657">
        <f t="shared" si="32"/>
        <v>157372</v>
      </c>
      <c r="M26" s="1657">
        <f t="shared" si="32"/>
        <v>249859</v>
      </c>
      <c r="N26" s="1974">
        <f t="shared" si="32"/>
        <v>360380</v>
      </c>
      <c r="O26" s="1975">
        <f t="shared" si="5"/>
        <v>46.128049560965614</v>
      </c>
      <c r="P26" s="1657">
        <f>+P27</f>
        <v>55</v>
      </c>
      <c r="Q26" s="1975">
        <f t="shared" si="17"/>
        <v>3.4949037948300843E-2</v>
      </c>
      <c r="R26" s="1657">
        <f t="shared" si="31"/>
        <v>-39288</v>
      </c>
      <c r="S26" s="3155"/>
      <c r="T26" s="537"/>
      <c r="U26" s="537"/>
    </row>
    <row r="27" spans="1:31" s="493" customFormat="1" ht="15" customHeight="1" x14ac:dyDescent="0.2">
      <c r="A27" s="3097"/>
      <c r="B27" s="1976" t="s">
        <v>8</v>
      </c>
      <c r="C27" s="2950"/>
      <c r="D27" s="1545">
        <f>+E27+F27+G27+H27</f>
        <v>781260</v>
      </c>
      <c r="E27" s="1546">
        <f>27008+90621+115017</f>
        <v>232646</v>
      </c>
      <c r="F27" s="1546">
        <v>141383</v>
      </c>
      <c r="G27" s="1546">
        <v>157372</v>
      </c>
      <c r="H27" s="1977">
        <f>163136+86723</f>
        <v>249859</v>
      </c>
      <c r="I27" s="1545">
        <f>+J27+K27+L27+M27</f>
        <v>767556</v>
      </c>
      <c r="J27" s="1546">
        <f>27008+90621+115017</f>
        <v>232646</v>
      </c>
      <c r="K27" s="1546">
        <v>127679</v>
      </c>
      <c r="L27" s="1546">
        <v>157372</v>
      </c>
      <c r="M27" s="1977">
        <f>163136+86723</f>
        <v>249859</v>
      </c>
      <c r="N27" s="1205">
        <f>+J27+K27+P27</f>
        <v>360380</v>
      </c>
      <c r="O27" s="1978">
        <f t="shared" si="5"/>
        <v>46.128049560965614</v>
      </c>
      <c r="P27" s="1546">
        <v>55</v>
      </c>
      <c r="Q27" s="1978">
        <f t="shared" si="17"/>
        <v>3.4949037948300843E-2</v>
      </c>
      <c r="R27" s="1546">
        <f t="shared" si="31"/>
        <v>-39288</v>
      </c>
      <c r="S27" s="3155"/>
      <c r="T27" s="537"/>
      <c r="U27" s="537"/>
    </row>
    <row r="28" spans="1:31" s="493" customFormat="1" ht="15" customHeight="1" x14ac:dyDescent="0.2">
      <c r="A28" s="3097"/>
      <c r="B28" s="703" t="s">
        <v>13</v>
      </c>
      <c r="C28" s="2950"/>
      <c r="D28" s="1557">
        <f>+D29</f>
        <v>4427140</v>
      </c>
      <c r="E28" s="1558">
        <f>+E29</f>
        <v>1318337</v>
      </c>
      <c r="F28" s="1558">
        <f>F29</f>
        <v>801169</v>
      </c>
      <c r="G28" s="1558">
        <f>G29</f>
        <v>891773</v>
      </c>
      <c r="H28" s="1558">
        <f>H29</f>
        <v>1415861</v>
      </c>
      <c r="I28" s="1557">
        <f>+I29</f>
        <v>4349482</v>
      </c>
      <c r="J28" s="1558">
        <f>+J29</f>
        <v>1318337</v>
      </c>
      <c r="K28" s="1558">
        <f>K29</f>
        <v>723511</v>
      </c>
      <c r="L28" s="1558">
        <f>L29</f>
        <v>891773</v>
      </c>
      <c r="M28" s="1558">
        <f>M29</f>
        <v>1415861</v>
      </c>
      <c r="N28" s="1557">
        <f>+N29</f>
        <v>2042159</v>
      </c>
      <c r="O28" s="1979">
        <f t="shared" si="5"/>
        <v>46.128177559327241</v>
      </c>
      <c r="P28" s="1558">
        <f>P29</f>
        <v>311</v>
      </c>
      <c r="Q28" s="1979">
        <f t="shared" si="17"/>
        <v>3.4874345825675369E-2</v>
      </c>
      <c r="R28" s="1558">
        <f t="shared" si="31"/>
        <v>-222632.25</v>
      </c>
      <c r="S28" s="3155"/>
      <c r="T28" s="537"/>
      <c r="U28" s="537"/>
    </row>
    <row r="29" spans="1:31" s="493" customFormat="1" ht="15" customHeight="1" x14ac:dyDescent="0.2">
      <c r="A29" s="3097"/>
      <c r="B29" s="1980" t="s">
        <v>15</v>
      </c>
      <c r="C29" s="2950"/>
      <c r="D29" s="1545">
        <f>+E29+F29+G29+H29</f>
        <v>4427140</v>
      </c>
      <c r="E29" s="1053">
        <f>153046+513525+651766</f>
        <v>1318337</v>
      </c>
      <c r="F29" s="1053">
        <v>801169</v>
      </c>
      <c r="G29" s="1053">
        <f>891773</f>
        <v>891773</v>
      </c>
      <c r="H29" s="1981">
        <f>924435+491426</f>
        <v>1415861</v>
      </c>
      <c r="I29" s="1545">
        <f>+J29+K29+L29+M29</f>
        <v>4349482</v>
      </c>
      <c r="J29" s="1053">
        <f>153046+513525+651766</f>
        <v>1318337</v>
      </c>
      <c r="K29" s="1053">
        <v>723511</v>
      </c>
      <c r="L29" s="1053">
        <f>891773</f>
        <v>891773</v>
      </c>
      <c r="M29" s="1981">
        <f>924435+491426</f>
        <v>1415861</v>
      </c>
      <c r="N29" s="1205">
        <f>+J29+K29+P29</f>
        <v>2042159</v>
      </c>
      <c r="O29" s="1978">
        <f t="shared" si="5"/>
        <v>46.128177559327241</v>
      </c>
      <c r="P29" s="1053">
        <v>311</v>
      </c>
      <c r="Q29" s="1978">
        <f t="shared" si="17"/>
        <v>3.4874345825675369E-2</v>
      </c>
      <c r="R29" s="1053">
        <f t="shared" si="31"/>
        <v>-222632.25</v>
      </c>
      <c r="S29" s="3155"/>
      <c r="T29" s="537"/>
      <c r="U29" s="537"/>
    </row>
    <row r="30" spans="1:31" s="493" customFormat="1" ht="15" customHeight="1" x14ac:dyDescent="0.2">
      <c r="A30" s="2811"/>
      <c r="B30" s="565" t="s">
        <v>17</v>
      </c>
      <c r="C30" s="1982"/>
      <c r="D30" s="1697">
        <f>+D31+D33</f>
        <v>5208400</v>
      </c>
      <c r="E30" s="1479">
        <f>+E31+E33</f>
        <v>1550983</v>
      </c>
      <c r="F30" s="1479">
        <f>F31+F33</f>
        <v>942552</v>
      </c>
      <c r="G30" s="1479">
        <f>G31+G33</f>
        <v>1049145</v>
      </c>
      <c r="H30" s="1479">
        <f>H31+H33</f>
        <v>1665720</v>
      </c>
      <c r="I30" s="1697">
        <f>+I31+I33</f>
        <v>5117038</v>
      </c>
      <c r="J30" s="1479">
        <f>+J31+J33</f>
        <v>1550983</v>
      </c>
      <c r="K30" s="1479">
        <f>K31+K33</f>
        <v>851190</v>
      </c>
      <c r="L30" s="1479">
        <f>L31+L33</f>
        <v>1049145</v>
      </c>
      <c r="M30" s="1479">
        <f>M31+M33</f>
        <v>1665720</v>
      </c>
      <c r="N30" s="1697">
        <f>+N31+N33</f>
        <v>2402173</v>
      </c>
      <c r="O30" s="1699">
        <f t="shared" si="5"/>
        <v>46.121131249520012</v>
      </c>
      <c r="P30" s="1479">
        <f>P31+P33</f>
        <v>0</v>
      </c>
      <c r="Q30" s="1699">
        <f t="shared" si="17"/>
        <v>0</v>
      </c>
      <c r="R30" s="1479">
        <f t="shared" si="31"/>
        <v>-262286.25</v>
      </c>
      <c r="S30" s="3155"/>
      <c r="T30" s="537"/>
      <c r="U30" s="537"/>
    </row>
    <row r="31" spans="1:31" s="493" customFormat="1" ht="15" customHeight="1" x14ac:dyDescent="0.2">
      <c r="A31" s="2811"/>
      <c r="B31" s="925" t="s">
        <v>18</v>
      </c>
      <c r="C31" s="3027" t="s">
        <v>177</v>
      </c>
      <c r="D31" s="1974">
        <f>+D32</f>
        <v>781260</v>
      </c>
      <c r="E31" s="1657">
        <f>+E32</f>
        <v>232646</v>
      </c>
      <c r="F31" s="1657">
        <f>F32</f>
        <v>141383</v>
      </c>
      <c r="G31" s="1657">
        <f>G32</f>
        <v>157372</v>
      </c>
      <c r="H31" s="1657">
        <f>H32</f>
        <v>249859</v>
      </c>
      <c r="I31" s="1974">
        <f>+I32</f>
        <v>767556</v>
      </c>
      <c r="J31" s="1657">
        <f>+J32</f>
        <v>232646</v>
      </c>
      <c r="K31" s="1657">
        <f>K32</f>
        <v>127679</v>
      </c>
      <c r="L31" s="1657">
        <f>L32</f>
        <v>157372</v>
      </c>
      <c r="M31" s="1657">
        <f>M32</f>
        <v>249859</v>
      </c>
      <c r="N31" s="1974">
        <f>+N32</f>
        <v>360325</v>
      </c>
      <c r="O31" s="1975">
        <f t="shared" si="5"/>
        <v>46.12100965107647</v>
      </c>
      <c r="P31" s="1657">
        <f>P32</f>
        <v>0</v>
      </c>
      <c r="Q31" s="1975">
        <f t="shared" si="17"/>
        <v>0</v>
      </c>
      <c r="R31" s="1657">
        <f t="shared" si="31"/>
        <v>-39343</v>
      </c>
      <c r="S31" s="3155"/>
      <c r="T31" s="537"/>
      <c r="U31" s="537"/>
    </row>
    <row r="32" spans="1:31" s="493" customFormat="1" ht="15" customHeight="1" x14ac:dyDescent="0.2">
      <c r="A32" s="2811"/>
      <c r="B32" s="1976" t="s">
        <v>8</v>
      </c>
      <c r="C32" s="2950"/>
      <c r="D32" s="1545">
        <f>+E32+F32+G32+H32</f>
        <v>781260</v>
      </c>
      <c r="E32" s="1546">
        <f>27008+90621+115017</f>
        <v>232646</v>
      </c>
      <c r="F32" s="1546">
        <v>141383</v>
      </c>
      <c r="G32" s="1546">
        <v>157372</v>
      </c>
      <c r="H32" s="1977">
        <f>163136+86723</f>
        <v>249859</v>
      </c>
      <c r="I32" s="1545">
        <f>+J32+K32+L32+M32</f>
        <v>767556</v>
      </c>
      <c r="J32" s="1546">
        <f>27008+90621+115017</f>
        <v>232646</v>
      </c>
      <c r="K32" s="1546">
        <v>127679</v>
      </c>
      <c r="L32" s="1546">
        <v>157372</v>
      </c>
      <c r="M32" s="1977">
        <f>163136+86723</f>
        <v>249859</v>
      </c>
      <c r="N32" s="1205">
        <f>+J32+K32+P32</f>
        <v>360325</v>
      </c>
      <c r="O32" s="1978">
        <f t="shared" si="5"/>
        <v>46.12100965107647</v>
      </c>
      <c r="P32" s="1546">
        <v>0</v>
      </c>
      <c r="Q32" s="1978">
        <f t="shared" si="17"/>
        <v>0</v>
      </c>
      <c r="R32" s="1546">
        <f t="shared" si="31"/>
        <v>-39343</v>
      </c>
      <c r="S32" s="3155"/>
      <c r="T32" s="537"/>
      <c r="U32" s="537"/>
    </row>
    <row r="33" spans="1:21" s="493" customFormat="1" ht="15" customHeight="1" x14ac:dyDescent="0.2">
      <c r="A33" s="2811"/>
      <c r="B33" s="703" t="s">
        <v>13</v>
      </c>
      <c r="C33" s="2950"/>
      <c r="D33" s="1557">
        <f>+D34</f>
        <v>4427140</v>
      </c>
      <c r="E33" s="1558">
        <f>+E34</f>
        <v>1318337</v>
      </c>
      <c r="F33" s="1558">
        <f>F34</f>
        <v>801169</v>
      </c>
      <c r="G33" s="1558">
        <f>G34</f>
        <v>891773</v>
      </c>
      <c r="H33" s="1558">
        <f>H34</f>
        <v>1415861</v>
      </c>
      <c r="I33" s="1557">
        <f>+I34</f>
        <v>4349482</v>
      </c>
      <c r="J33" s="1558">
        <f>+J34</f>
        <v>1318337</v>
      </c>
      <c r="K33" s="1558">
        <f>K34</f>
        <v>723511</v>
      </c>
      <c r="L33" s="1558">
        <f>L34</f>
        <v>891773</v>
      </c>
      <c r="M33" s="1558">
        <f>M34</f>
        <v>1415861</v>
      </c>
      <c r="N33" s="1557">
        <f>+N34</f>
        <v>2041848</v>
      </c>
      <c r="O33" s="1979">
        <f t="shared" si="5"/>
        <v>46.12115270806887</v>
      </c>
      <c r="P33" s="1558">
        <f>P34</f>
        <v>0</v>
      </c>
      <c r="Q33" s="1979">
        <f t="shared" si="17"/>
        <v>0</v>
      </c>
      <c r="R33" s="1558">
        <f t="shared" si="31"/>
        <v>-222943.25</v>
      </c>
      <c r="S33" s="3155"/>
      <c r="T33" s="537"/>
      <c r="U33" s="537"/>
    </row>
    <row r="34" spans="1:21" s="493" customFormat="1" ht="13.5" thickBot="1" x14ac:dyDescent="0.25">
      <c r="A34" s="2812"/>
      <c r="B34" s="1983" t="s">
        <v>15</v>
      </c>
      <c r="C34" s="2967"/>
      <c r="D34" s="1545">
        <f>+E34+F34+G34+H34</f>
        <v>4427140</v>
      </c>
      <c r="E34" s="1053">
        <f>153046+513525+651766</f>
        <v>1318337</v>
      </c>
      <c r="F34" s="1053">
        <v>801169</v>
      </c>
      <c r="G34" s="1053">
        <f>891773</f>
        <v>891773</v>
      </c>
      <c r="H34" s="1981">
        <f>924435+491426</f>
        <v>1415861</v>
      </c>
      <c r="I34" s="1545">
        <f>+J34+K34+L34+M34</f>
        <v>4349482</v>
      </c>
      <c r="J34" s="1053">
        <f>153046+513525+651766</f>
        <v>1318337</v>
      </c>
      <c r="K34" s="1053">
        <v>723511</v>
      </c>
      <c r="L34" s="1053">
        <f>891773</f>
        <v>891773</v>
      </c>
      <c r="M34" s="1981">
        <f>924435+491426</f>
        <v>1415861</v>
      </c>
      <c r="N34" s="1205">
        <f>+J34+K34+P34</f>
        <v>2041848</v>
      </c>
      <c r="O34" s="1978">
        <f t="shared" si="5"/>
        <v>46.12115270806887</v>
      </c>
      <c r="P34" s="1053">
        <v>0</v>
      </c>
      <c r="Q34" s="1978">
        <f t="shared" si="17"/>
        <v>0</v>
      </c>
      <c r="R34" s="1053">
        <f t="shared" si="31"/>
        <v>-222943.25</v>
      </c>
      <c r="S34" s="3156"/>
      <c r="T34" s="537"/>
      <c r="U34" s="537"/>
    </row>
    <row r="35" spans="1:21" s="493" customFormat="1" ht="39.75" customHeight="1" x14ac:dyDescent="0.2">
      <c r="A35" s="3096">
        <v>2</v>
      </c>
      <c r="B35" s="1972" t="s">
        <v>282</v>
      </c>
      <c r="C35" s="1687" t="s">
        <v>225</v>
      </c>
      <c r="D35" s="1688"/>
      <c r="E35" s="4"/>
      <c r="F35" s="4"/>
      <c r="G35" s="4"/>
      <c r="H35" s="1932"/>
      <c r="I35" s="1688"/>
      <c r="J35" s="4"/>
      <c r="K35" s="4"/>
      <c r="L35" s="4"/>
      <c r="M35" s="1932"/>
      <c r="N35" s="1688"/>
      <c r="O35" s="1973"/>
      <c r="P35" s="4"/>
      <c r="Q35" s="1973"/>
      <c r="R35" s="4"/>
      <c r="S35" s="3107" t="s">
        <v>190</v>
      </c>
      <c r="T35" s="537"/>
    </row>
    <row r="36" spans="1:21" s="493" customFormat="1" ht="12.75" customHeight="1" x14ac:dyDescent="0.2">
      <c r="A36" s="3097"/>
      <c r="B36" s="565" t="s">
        <v>3</v>
      </c>
      <c r="C36" s="1694"/>
      <c r="D36" s="1697">
        <f t="shared" ref="D36:H36" si="33">+D37+D39</f>
        <v>283962</v>
      </c>
      <c r="E36" s="1479">
        <f t="shared" si="33"/>
        <v>283962</v>
      </c>
      <c r="F36" s="1713">
        <f t="shared" si="33"/>
        <v>0</v>
      </c>
      <c r="G36" s="1713">
        <f t="shared" si="33"/>
        <v>0</v>
      </c>
      <c r="H36" s="1713">
        <f t="shared" si="33"/>
        <v>0</v>
      </c>
      <c r="I36" s="1697">
        <f t="shared" ref="I36:N36" si="34">+I37+I39</f>
        <v>283962</v>
      </c>
      <c r="J36" s="1479">
        <f t="shared" si="34"/>
        <v>283962</v>
      </c>
      <c r="K36" s="1713">
        <f t="shared" si="34"/>
        <v>0</v>
      </c>
      <c r="L36" s="1713">
        <f t="shared" si="34"/>
        <v>0</v>
      </c>
      <c r="M36" s="1713">
        <f t="shared" si="34"/>
        <v>0</v>
      </c>
      <c r="N36" s="1697">
        <f t="shared" si="34"/>
        <v>283962</v>
      </c>
      <c r="O36" s="1699">
        <f t="shared" si="5"/>
        <v>100</v>
      </c>
      <c r="P36" s="1713">
        <f>+P37+P39</f>
        <v>0</v>
      </c>
      <c r="Q36" s="1713">
        <v>0</v>
      </c>
      <c r="R36" s="1713">
        <f t="shared" ref="R36:R46" si="35">+P36-L36*0.25</f>
        <v>0</v>
      </c>
      <c r="S36" s="3155"/>
      <c r="T36" s="537"/>
    </row>
    <row r="37" spans="1:21" s="493" customFormat="1" ht="12.75" customHeight="1" x14ac:dyDescent="0.2">
      <c r="A37" s="3097"/>
      <c r="B37" s="925" t="s">
        <v>18</v>
      </c>
      <c r="C37" s="3027" t="s">
        <v>177</v>
      </c>
      <c r="D37" s="1974">
        <f t="shared" ref="D37:N37" si="36">+D38</f>
        <v>42595</v>
      </c>
      <c r="E37" s="1657">
        <f t="shared" si="36"/>
        <v>42595</v>
      </c>
      <c r="F37" s="1984">
        <f t="shared" si="36"/>
        <v>0</v>
      </c>
      <c r="G37" s="1984">
        <f t="shared" si="36"/>
        <v>0</v>
      </c>
      <c r="H37" s="1984">
        <f t="shared" si="36"/>
        <v>0</v>
      </c>
      <c r="I37" s="1974">
        <f t="shared" si="36"/>
        <v>42595</v>
      </c>
      <c r="J37" s="1657">
        <f t="shared" si="36"/>
        <v>42595</v>
      </c>
      <c r="K37" s="1984">
        <f t="shared" si="36"/>
        <v>0</v>
      </c>
      <c r="L37" s="1984">
        <f t="shared" si="36"/>
        <v>0</v>
      </c>
      <c r="M37" s="1984">
        <f t="shared" si="36"/>
        <v>0</v>
      </c>
      <c r="N37" s="1974">
        <f t="shared" si="36"/>
        <v>42595</v>
      </c>
      <c r="O37" s="1975">
        <f t="shared" si="5"/>
        <v>100</v>
      </c>
      <c r="P37" s="1984">
        <f>+P38</f>
        <v>0</v>
      </c>
      <c r="Q37" s="1984">
        <v>0</v>
      </c>
      <c r="R37" s="1984">
        <f t="shared" si="35"/>
        <v>0</v>
      </c>
      <c r="S37" s="3155"/>
      <c r="T37" s="537"/>
    </row>
    <row r="38" spans="1:21" s="493" customFormat="1" ht="12.75" customHeight="1" x14ac:dyDescent="0.2">
      <c r="A38" s="3097"/>
      <c r="B38" s="1976" t="s">
        <v>8</v>
      </c>
      <c r="C38" s="2950"/>
      <c r="D38" s="1545">
        <f>+E38+F38+G38+H38</f>
        <v>42595</v>
      </c>
      <c r="E38" s="1546">
        <v>42595</v>
      </c>
      <c r="F38" s="1600">
        <v>0</v>
      </c>
      <c r="G38" s="1600">
        <v>0</v>
      </c>
      <c r="H38" s="1600">
        <v>0</v>
      </c>
      <c r="I38" s="1545">
        <f>+J38+K38+L38+M38</f>
        <v>42595</v>
      </c>
      <c r="J38" s="1546">
        <v>42595</v>
      </c>
      <c r="K38" s="1600">
        <v>0</v>
      </c>
      <c r="L38" s="1600">
        <v>0</v>
      </c>
      <c r="M38" s="1600">
        <v>0</v>
      </c>
      <c r="N38" s="1545">
        <f>+J38+K38+P38</f>
        <v>42595</v>
      </c>
      <c r="O38" s="1985">
        <f t="shared" si="5"/>
        <v>100</v>
      </c>
      <c r="P38" s="1600">
        <v>0</v>
      </c>
      <c r="Q38" s="1986">
        <v>0</v>
      </c>
      <c r="R38" s="1600">
        <f t="shared" si="35"/>
        <v>0</v>
      </c>
      <c r="S38" s="3155"/>
      <c r="T38" s="537"/>
    </row>
    <row r="39" spans="1:21" s="493" customFormat="1" ht="12.75" customHeight="1" x14ac:dyDescent="0.2">
      <c r="A39" s="3097"/>
      <c r="B39" s="703" t="s">
        <v>13</v>
      </c>
      <c r="C39" s="2950"/>
      <c r="D39" s="1557">
        <f>+D40</f>
        <v>241367</v>
      </c>
      <c r="E39" s="1558">
        <f>+E40</f>
        <v>241367</v>
      </c>
      <c r="F39" s="1912">
        <f>F40</f>
        <v>0</v>
      </c>
      <c r="G39" s="1912">
        <f>G40</f>
        <v>0</v>
      </c>
      <c r="H39" s="1912">
        <f>H40</f>
        <v>0</v>
      </c>
      <c r="I39" s="1557">
        <f>+I40</f>
        <v>241367</v>
      </c>
      <c r="J39" s="1558">
        <f>+J40</f>
        <v>241367</v>
      </c>
      <c r="K39" s="1912">
        <f>K40</f>
        <v>0</v>
      </c>
      <c r="L39" s="1912">
        <f>L40</f>
        <v>0</v>
      </c>
      <c r="M39" s="1912">
        <f>M40</f>
        <v>0</v>
      </c>
      <c r="N39" s="1557">
        <f>+N40</f>
        <v>241367</v>
      </c>
      <c r="O39" s="1979">
        <f t="shared" si="5"/>
        <v>100</v>
      </c>
      <c r="P39" s="1912">
        <f>P40</f>
        <v>0</v>
      </c>
      <c r="Q39" s="1987">
        <v>0</v>
      </c>
      <c r="R39" s="1912">
        <f t="shared" si="35"/>
        <v>0</v>
      </c>
      <c r="S39" s="3155"/>
      <c r="T39" s="537"/>
    </row>
    <row r="40" spans="1:21" s="493" customFormat="1" ht="12.75" customHeight="1" x14ac:dyDescent="0.2">
      <c r="A40" s="3097"/>
      <c r="B40" s="1980" t="s">
        <v>15</v>
      </c>
      <c r="C40" s="2950"/>
      <c r="D40" s="1545">
        <f>+E40+F40+G40+H40</f>
        <v>241367</v>
      </c>
      <c r="E40" s="1053">
        <v>241367</v>
      </c>
      <c r="F40" s="735">
        <v>0</v>
      </c>
      <c r="G40" s="735">
        <v>0</v>
      </c>
      <c r="H40" s="735">
        <v>0</v>
      </c>
      <c r="I40" s="1545">
        <f>+J40+K40+L40+M40</f>
        <v>241367</v>
      </c>
      <c r="J40" s="1053">
        <v>241367</v>
      </c>
      <c r="K40" s="735">
        <v>0</v>
      </c>
      <c r="L40" s="735">
        <v>0</v>
      </c>
      <c r="M40" s="735">
        <v>0</v>
      </c>
      <c r="N40" s="1545">
        <f>+J40+K40+P40</f>
        <v>241367</v>
      </c>
      <c r="O40" s="1985">
        <f t="shared" si="5"/>
        <v>100</v>
      </c>
      <c r="P40" s="735">
        <v>0</v>
      </c>
      <c r="Q40" s="1986">
        <v>0</v>
      </c>
      <c r="R40" s="735">
        <f t="shared" si="35"/>
        <v>0</v>
      </c>
      <c r="S40" s="3155"/>
      <c r="T40" s="537"/>
    </row>
    <row r="41" spans="1:21" s="493" customFormat="1" ht="12.75" customHeight="1" x14ac:dyDescent="0.2">
      <c r="A41" s="2811"/>
      <c r="B41" s="565" t="s">
        <v>17</v>
      </c>
      <c r="C41" s="1982"/>
      <c r="D41" s="1697">
        <f>+D42+D44</f>
        <v>283962</v>
      </c>
      <c r="E41" s="1479">
        <f>+E42+E44</f>
        <v>283962</v>
      </c>
      <c r="F41" s="1713">
        <f>F42+F44</f>
        <v>0</v>
      </c>
      <c r="G41" s="1713">
        <f>G42+G44</f>
        <v>0</v>
      </c>
      <c r="H41" s="1713">
        <f>H42+H44</f>
        <v>0</v>
      </c>
      <c r="I41" s="1697">
        <f>+I42+I44</f>
        <v>283962</v>
      </c>
      <c r="J41" s="1479">
        <f>+J42+J44</f>
        <v>283962</v>
      </c>
      <c r="K41" s="1713">
        <f>K42+K44</f>
        <v>0</v>
      </c>
      <c r="L41" s="1713">
        <f>L42+L44</f>
        <v>0</v>
      </c>
      <c r="M41" s="1713">
        <f>M42+M44</f>
        <v>0</v>
      </c>
      <c r="N41" s="1697">
        <f>+N42+N44</f>
        <v>283962</v>
      </c>
      <c r="O41" s="1699">
        <f t="shared" si="5"/>
        <v>100</v>
      </c>
      <c r="P41" s="1713">
        <f>P42+P44</f>
        <v>0</v>
      </c>
      <c r="Q41" s="1713">
        <v>0</v>
      </c>
      <c r="R41" s="1713">
        <f t="shared" si="35"/>
        <v>0</v>
      </c>
      <c r="S41" s="3155"/>
      <c r="T41" s="537"/>
    </row>
    <row r="42" spans="1:21" s="493" customFormat="1" ht="12.75" customHeight="1" x14ac:dyDescent="0.2">
      <c r="A42" s="2811"/>
      <c r="B42" s="925" t="s">
        <v>18</v>
      </c>
      <c r="C42" s="3027" t="s">
        <v>177</v>
      </c>
      <c r="D42" s="1974">
        <f>+D43</f>
        <v>42595</v>
      </c>
      <c r="E42" s="1657">
        <f>+E43</f>
        <v>42595</v>
      </c>
      <c r="F42" s="1984">
        <f>F43</f>
        <v>0</v>
      </c>
      <c r="G42" s="1984">
        <f>G43</f>
        <v>0</v>
      </c>
      <c r="H42" s="1984">
        <f>H43</f>
        <v>0</v>
      </c>
      <c r="I42" s="1974">
        <f>+I43</f>
        <v>42595</v>
      </c>
      <c r="J42" s="1657">
        <f>+J43</f>
        <v>42595</v>
      </c>
      <c r="K42" s="1984">
        <f>K43</f>
        <v>0</v>
      </c>
      <c r="L42" s="1984">
        <f>L43</f>
        <v>0</v>
      </c>
      <c r="M42" s="1984">
        <f>M43</f>
        <v>0</v>
      </c>
      <c r="N42" s="1974">
        <f>+N43</f>
        <v>42595</v>
      </c>
      <c r="O42" s="1975">
        <f t="shared" si="5"/>
        <v>100</v>
      </c>
      <c r="P42" s="1984">
        <f>P43</f>
        <v>0</v>
      </c>
      <c r="Q42" s="1984">
        <v>0</v>
      </c>
      <c r="R42" s="1984">
        <f t="shared" si="35"/>
        <v>0</v>
      </c>
      <c r="S42" s="3155"/>
      <c r="T42" s="537"/>
    </row>
    <row r="43" spans="1:21" s="493" customFormat="1" ht="12.75" customHeight="1" x14ac:dyDescent="0.2">
      <c r="A43" s="2811"/>
      <c r="B43" s="1976" t="s">
        <v>8</v>
      </c>
      <c r="C43" s="2950"/>
      <c r="D43" s="1545">
        <f>+E43+F43+G43+H43</f>
        <v>42595</v>
      </c>
      <c r="E43" s="1546">
        <v>42595</v>
      </c>
      <c r="F43" s="1600">
        <v>0</v>
      </c>
      <c r="G43" s="1600">
        <v>0</v>
      </c>
      <c r="H43" s="1600">
        <v>0</v>
      </c>
      <c r="I43" s="1545">
        <f>+J43+K43+L43+M43</f>
        <v>42595</v>
      </c>
      <c r="J43" s="1546">
        <v>42595</v>
      </c>
      <c r="K43" s="1600">
        <v>0</v>
      </c>
      <c r="L43" s="1600">
        <v>0</v>
      </c>
      <c r="M43" s="1600">
        <v>0</v>
      </c>
      <c r="N43" s="1545">
        <f>+J43+K43+P43</f>
        <v>42595</v>
      </c>
      <c r="O43" s="1985">
        <f t="shared" si="5"/>
        <v>100</v>
      </c>
      <c r="P43" s="1600">
        <v>0</v>
      </c>
      <c r="Q43" s="1986">
        <v>0</v>
      </c>
      <c r="R43" s="1600">
        <f t="shared" si="35"/>
        <v>0</v>
      </c>
      <c r="S43" s="3155"/>
      <c r="T43" s="537"/>
    </row>
    <row r="44" spans="1:21" s="493" customFormat="1" ht="12.75" customHeight="1" x14ac:dyDescent="0.2">
      <c r="A44" s="2811"/>
      <c r="B44" s="703" t="s">
        <v>13</v>
      </c>
      <c r="C44" s="2950"/>
      <c r="D44" s="1557">
        <f>+D45</f>
        <v>241367</v>
      </c>
      <c r="E44" s="1558">
        <f>+E45</f>
        <v>241367</v>
      </c>
      <c r="F44" s="1912">
        <f>F45</f>
        <v>0</v>
      </c>
      <c r="G44" s="1912">
        <f>G45</f>
        <v>0</v>
      </c>
      <c r="H44" s="1912">
        <f>H45</f>
        <v>0</v>
      </c>
      <c r="I44" s="1557">
        <f>+I45</f>
        <v>241367</v>
      </c>
      <c r="J44" s="1558">
        <f>+J45</f>
        <v>241367</v>
      </c>
      <c r="K44" s="1912">
        <f>K45</f>
        <v>0</v>
      </c>
      <c r="L44" s="1912">
        <f>L45</f>
        <v>0</v>
      </c>
      <c r="M44" s="1912">
        <f>M45</f>
        <v>0</v>
      </c>
      <c r="N44" s="1557">
        <f>+N45</f>
        <v>241367</v>
      </c>
      <c r="O44" s="1979">
        <f t="shared" si="5"/>
        <v>100</v>
      </c>
      <c r="P44" s="1912">
        <f>P45</f>
        <v>0</v>
      </c>
      <c r="Q44" s="1987">
        <v>0</v>
      </c>
      <c r="R44" s="1912">
        <f t="shared" si="35"/>
        <v>0</v>
      </c>
      <c r="S44" s="3155"/>
      <c r="T44" s="537"/>
    </row>
    <row r="45" spans="1:21" s="493" customFormat="1" ht="12.75" customHeight="1" thickBot="1" x14ac:dyDescent="0.25">
      <c r="A45" s="2812"/>
      <c r="B45" s="1983" t="s">
        <v>15</v>
      </c>
      <c r="C45" s="2967"/>
      <c r="D45" s="1623">
        <f>+E45+F45+G45+H45</f>
        <v>241367</v>
      </c>
      <c r="E45" s="1053">
        <v>241367</v>
      </c>
      <c r="F45" s="735">
        <v>0</v>
      </c>
      <c r="G45" s="735">
        <v>0</v>
      </c>
      <c r="H45" s="735">
        <v>0</v>
      </c>
      <c r="I45" s="1623">
        <f>+J45+K45+L45+M45</f>
        <v>241367</v>
      </c>
      <c r="J45" s="1053">
        <v>241367</v>
      </c>
      <c r="K45" s="735">
        <v>0</v>
      </c>
      <c r="L45" s="735">
        <v>0</v>
      </c>
      <c r="M45" s="735">
        <v>0</v>
      </c>
      <c r="N45" s="1623">
        <f>+J45+K45+P45</f>
        <v>241367</v>
      </c>
      <c r="O45" s="1985">
        <f t="shared" si="5"/>
        <v>100</v>
      </c>
      <c r="P45" s="735">
        <v>0</v>
      </c>
      <c r="Q45" s="1986">
        <v>0</v>
      </c>
      <c r="R45" s="735">
        <f t="shared" si="35"/>
        <v>0</v>
      </c>
      <c r="S45" s="3156"/>
      <c r="T45" s="537"/>
    </row>
    <row r="46" spans="1:21" s="493" customFormat="1" ht="68.25" customHeight="1" x14ac:dyDescent="0.2">
      <c r="A46" s="3096" t="s">
        <v>48</v>
      </c>
      <c r="B46" s="1972" t="s">
        <v>191</v>
      </c>
      <c r="C46" s="1687" t="s">
        <v>233</v>
      </c>
      <c r="D46" s="1688"/>
      <c r="E46" s="4"/>
      <c r="F46" s="4"/>
      <c r="G46" s="4"/>
      <c r="H46" s="1932"/>
      <c r="I46" s="1688"/>
      <c r="J46" s="4"/>
      <c r="K46" s="4"/>
      <c r="L46" s="4"/>
      <c r="M46" s="1932"/>
      <c r="N46" s="1688"/>
      <c r="O46" s="1973"/>
      <c r="P46" s="1988"/>
      <c r="Q46" s="1973"/>
      <c r="R46" s="4">
        <f t="shared" si="35"/>
        <v>0</v>
      </c>
      <c r="S46" s="3102" t="s">
        <v>192</v>
      </c>
      <c r="T46" s="537"/>
    </row>
    <row r="47" spans="1:21" s="493" customFormat="1" ht="12.75" customHeight="1" x14ac:dyDescent="0.2">
      <c r="A47" s="3097"/>
      <c r="B47" s="565" t="s">
        <v>3</v>
      </c>
      <c r="C47" s="1694"/>
      <c r="D47" s="1697">
        <f t="shared" ref="D47:H47" si="37">+D48+D50</f>
        <v>2590728</v>
      </c>
      <c r="E47" s="1479">
        <f t="shared" si="37"/>
        <v>2035111</v>
      </c>
      <c r="F47" s="1479">
        <f t="shared" si="37"/>
        <v>555617</v>
      </c>
      <c r="G47" s="1713">
        <f t="shared" si="37"/>
        <v>0</v>
      </c>
      <c r="H47" s="1713">
        <f t="shared" si="37"/>
        <v>0</v>
      </c>
      <c r="I47" s="1697">
        <f t="shared" ref="I47:N47" si="38">+I48+I50</f>
        <v>2590722</v>
      </c>
      <c r="J47" s="1479">
        <f t="shared" si="38"/>
        <v>2035111</v>
      </c>
      <c r="K47" s="1479">
        <f t="shared" si="38"/>
        <v>555611</v>
      </c>
      <c r="L47" s="1713">
        <f t="shared" si="38"/>
        <v>0</v>
      </c>
      <c r="M47" s="1713">
        <f t="shared" si="38"/>
        <v>0</v>
      </c>
      <c r="N47" s="1697">
        <f t="shared" si="38"/>
        <v>2590722</v>
      </c>
      <c r="O47" s="1699">
        <f t="shared" si="5"/>
        <v>99.99976840486535</v>
      </c>
      <c r="P47" s="1713">
        <f>+P48+P50</f>
        <v>0</v>
      </c>
      <c r="Q47" s="1713">
        <v>0</v>
      </c>
      <c r="R47" s="1713">
        <f t="shared" ref="R47:R56" si="39">+P47-L47*0.25</f>
        <v>0</v>
      </c>
      <c r="S47" s="3103"/>
      <c r="T47" s="537"/>
    </row>
    <row r="48" spans="1:21" s="493" customFormat="1" ht="12.75" customHeight="1" x14ac:dyDescent="0.2">
      <c r="A48" s="3097"/>
      <c r="B48" s="925" t="s">
        <v>18</v>
      </c>
      <c r="C48" s="3027" t="s">
        <v>177</v>
      </c>
      <c r="D48" s="1974">
        <f t="shared" ref="D48:N48" si="40">+D49</f>
        <v>116845</v>
      </c>
      <c r="E48" s="1657">
        <f t="shared" si="40"/>
        <v>91784</v>
      </c>
      <c r="F48" s="1657">
        <f t="shared" si="40"/>
        <v>25061</v>
      </c>
      <c r="G48" s="1984">
        <f t="shared" si="40"/>
        <v>0</v>
      </c>
      <c r="H48" s="1984">
        <f t="shared" si="40"/>
        <v>0</v>
      </c>
      <c r="I48" s="1974">
        <f t="shared" si="40"/>
        <v>116842</v>
      </c>
      <c r="J48" s="1657">
        <f t="shared" si="40"/>
        <v>91784</v>
      </c>
      <c r="K48" s="1657">
        <f t="shared" si="40"/>
        <v>25058</v>
      </c>
      <c r="L48" s="1984">
        <f t="shared" si="40"/>
        <v>0</v>
      </c>
      <c r="M48" s="1984">
        <f t="shared" si="40"/>
        <v>0</v>
      </c>
      <c r="N48" s="1974">
        <f t="shared" si="40"/>
        <v>116842</v>
      </c>
      <c r="O48" s="1975">
        <f t="shared" si="5"/>
        <v>99.997432496041768</v>
      </c>
      <c r="P48" s="1984">
        <f>+P49</f>
        <v>0</v>
      </c>
      <c r="Q48" s="1984">
        <v>0</v>
      </c>
      <c r="R48" s="1984">
        <f t="shared" si="39"/>
        <v>0</v>
      </c>
      <c r="S48" s="3103"/>
      <c r="T48" s="537"/>
    </row>
    <row r="49" spans="1:20" s="493" customFormat="1" ht="12.75" customHeight="1" x14ac:dyDescent="0.2">
      <c r="A49" s="3097"/>
      <c r="B49" s="1989" t="s">
        <v>8</v>
      </c>
      <c r="C49" s="2950"/>
      <c r="D49" s="1545">
        <f>+E49+F49+G49+H49</f>
        <v>116845</v>
      </c>
      <c r="E49" s="1546">
        <f>33711+58073</f>
        <v>91784</v>
      </c>
      <c r="F49" s="1546">
        <v>25061</v>
      </c>
      <c r="G49" s="1600">
        <v>0</v>
      </c>
      <c r="H49" s="1600">
        <v>0</v>
      </c>
      <c r="I49" s="1545">
        <f>+J49+K49+L49+M49</f>
        <v>116842</v>
      </c>
      <c r="J49" s="1546">
        <f>33711+58073</f>
        <v>91784</v>
      </c>
      <c r="K49" s="1546">
        <v>25058</v>
      </c>
      <c r="L49" s="1600">
        <v>0</v>
      </c>
      <c r="M49" s="1600">
        <v>0</v>
      </c>
      <c r="N49" s="1545">
        <f>+J49+K49+P49</f>
        <v>116842</v>
      </c>
      <c r="O49" s="1985">
        <f t="shared" si="5"/>
        <v>99.997432496041768</v>
      </c>
      <c r="P49" s="1600">
        <v>0</v>
      </c>
      <c r="Q49" s="1986">
        <v>0</v>
      </c>
      <c r="R49" s="1600">
        <f t="shared" si="39"/>
        <v>0</v>
      </c>
      <c r="S49" s="3103"/>
      <c r="T49" s="537"/>
    </row>
    <row r="50" spans="1:20" s="493" customFormat="1" ht="12.75" customHeight="1" x14ac:dyDescent="0.2">
      <c r="A50" s="3097"/>
      <c r="B50" s="703" t="s">
        <v>13</v>
      </c>
      <c r="C50" s="2950"/>
      <c r="D50" s="1557">
        <f>+D51</f>
        <v>2473883</v>
      </c>
      <c r="E50" s="1558">
        <f>+E51</f>
        <v>1943327</v>
      </c>
      <c r="F50" s="1558">
        <f>F51</f>
        <v>530556</v>
      </c>
      <c r="G50" s="1912">
        <f>G51</f>
        <v>0</v>
      </c>
      <c r="H50" s="1912">
        <f>H51</f>
        <v>0</v>
      </c>
      <c r="I50" s="1557">
        <f>+I51</f>
        <v>2473880</v>
      </c>
      <c r="J50" s="1558">
        <f>+J51</f>
        <v>1943327</v>
      </c>
      <c r="K50" s="1558">
        <f>K51</f>
        <v>530553</v>
      </c>
      <c r="L50" s="1912">
        <f>L51</f>
        <v>0</v>
      </c>
      <c r="M50" s="1912">
        <f>M51</f>
        <v>0</v>
      </c>
      <c r="N50" s="1557">
        <f>+N51</f>
        <v>2473880</v>
      </c>
      <c r="O50" s="1979">
        <f t="shared" si="5"/>
        <v>99.999878733149458</v>
      </c>
      <c r="P50" s="1912">
        <f>P51</f>
        <v>0</v>
      </c>
      <c r="Q50" s="1987">
        <v>0</v>
      </c>
      <c r="R50" s="1912">
        <f t="shared" si="39"/>
        <v>0</v>
      </c>
      <c r="S50" s="3103"/>
      <c r="T50" s="537"/>
    </row>
    <row r="51" spans="1:20" s="493" customFormat="1" ht="12.75" customHeight="1" x14ac:dyDescent="0.2">
      <c r="A51" s="3097"/>
      <c r="B51" s="1980" t="s">
        <v>15</v>
      </c>
      <c r="C51" s="2950"/>
      <c r="D51" s="1545">
        <f>+E51+F51+G51+H51</f>
        <v>2473883</v>
      </c>
      <c r="E51" s="1053">
        <f>713747+1229580</f>
        <v>1943327</v>
      </c>
      <c r="F51" s="1053">
        <v>530556</v>
      </c>
      <c r="G51" s="735">
        <v>0</v>
      </c>
      <c r="H51" s="735">
        <v>0</v>
      </c>
      <c r="I51" s="1545">
        <f>+J51+K51+L51+M51</f>
        <v>2473880</v>
      </c>
      <c r="J51" s="1053">
        <f>713747+1229580</f>
        <v>1943327</v>
      </c>
      <c r="K51" s="1053">
        <v>530553</v>
      </c>
      <c r="L51" s="735">
        <v>0</v>
      </c>
      <c r="M51" s="735">
        <v>0</v>
      </c>
      <c r="N51" s="1545">
        <f>+J51+K51+P51</f>
        <v>2473880</v>
      </c>
      <c r="O51" s="1985">
        <f t="shared" si="5"/>
        <v>99.999878733149458</v>
      </c>
      <c r="P51" s="735">
        <v>0</v>
      </c>
      <c r="Q51" s="1986">
        <v>0</v>
      </c>
      <c r="R51" s="735">
        <f t="shared" si="39"/>
        <v>0</v>
      </c>
      <c r="S51" s="3103"/>
      <c r="T51" s="537"/>
    </row>
    <row r="52" spans="1:20" s="493" customFormat="1" ht="12.75" customHeight="1" x14ac:dyDescent="0.2">
      <c r="A52" s="2811"/>
      <c r="B52" s="565" t="s">
        <v>17</v>
      </c>
      <c r="C52" s="1982"/>
      <c r="D52" s="1697">
        <f>+D53+D55</f>
        <v>2590728</v>
      </c>
      <c r="E52" s="1479">
        <f>+E53+E55</f>
        <v>2154266</v>
      </c>
      <c r="F52" s="1479">
        <f>F53+F55</f>
        <v>436462</v>
      </c>
      <c r="G52" s="1713">
        <f>G53+G55</f>
        <v>0</v>
      </c>
      <c r="H52" s="1713">
        <f>H53+H55</f>
        <v>0</v>
      </c>
      <c r="I52" s="1697">
        <f>+I53+I55</f>
        <v>2590722</v>
      </c>
      <c r="J52" s="1479">
        <f>+J53+J55</f>
        <v>2154266</v>
      </c>
      <c r="K52" s="1479">
        <f>K53+K55</f>
        <v>436456</v>
      </c>
      <c r="L52" s="1713">
        <f>L53+L55</f>
        <v>0</v>
      </c>
      <c r="M52" s="1713">
        <f>M53+M55</f>
        <v>0</v>
      </c>
      <c r="N52" s="1697">
        <f>+N53+N55</f>
        <v>2590722</v>
      </c>
      <c r="O52" s="1699">
        <f t="shared" si="5"/>
        <v>99.99976840486535</v>
      </c>
      <c r="P52" s="1713">
        <f>P53+P55</f>
        <v>0</v>
      </c>
      <c r="Q52" s="1713">
        <v>0</v>
      </c>
      <c r="R52" s="1713">
        <f t="shared" si="39"/>
        <v>0</v>
      </c>
      <c r="S52" s="3103"/>
      <c r="T52" s="537"/>
    </row>
    <row r="53" spans="1:20" s="493" customFormat="1" ht="12.75" customHeight="1" x14ac:dyDescent="0.2">
      <c r="A53" s="2811"/>
      <c r="B53" s="925" t="s">
        <v>18</v>
      </c>
      <c r="C53" s="3027" t="s">
        <v>177</v>
      </c>
      <c r="D53" s="1974">
        <f>+D54</f>
        <v>116845</v>
      </c>
      <c r="E53" s="1657">
        <f>+E54</f>
        <v>91784</v>
      </c>
      <c r="F53" s="1657">
        <f>F54</f>
        <v>25061</v>
      </c>
      <c r="G53" s="1984">
        <f>G54</f>
        <v>0</v>
      </c>
      <c r="H53" s="1984">
        <f>H54</f>
        <v>0</v>
      </c>
      <c r="I53" s="1974">
        <f>+I54</f>
        <v>116842</v>
      </c>
      <c r="J53" s="1657">
        <f>+J54</f>
        <v>91784</v>
      </c>
      <c r="K53" s="1657">
        <f>K54</f>
        <v>25058</v>
      </c>
      <c r="L53" s="1984">
        <f>L54</f>
        <v>0</v>
      </c>
      <c r="M53" s="1984">
        <f>M54</f>
        <v>0</v>
      </c>
      <c r="N53" s="1974">
        <f>+N54</f>
        <v>116842</v>
      </c>
      <c r="O53" s="1975">
        <f t="shared" si="5"/>
        <v>99.997432496041768</v>
      </c>
      <c r="P53" s="1984">
        <f>P54</f>
        <v>0</v>
      </c>
      <c r="Q53" s="1984">
        <v>0</v>
      </c>
      <c r="R53" s="1984">
        <f t="shared" si="39"/>
        <v>0</v>
      </c>
      <c r="S53" s="3103"/>
      <c r="T53" s="537"/>
    </row>
    <row r="54" spans="1:20" s="493" customFormat="1" ht="12.75" customHeight="1" x14ac:dyDescent="0.2">
      <c r="A54" s="2811"/>
      <c r="B54" s="1989" t="s">
        <v>8</v>
      </c>
      <c r="C54" s="2950"/>
      <c r="D54" s="1545">
        <f>+E54+F54+G54+H54</f>
        <v>116845</v>
      </c>
      <c r="E54" s="1546">
        <f>33711+58073</f>
        <v>91784</v>
      </c>
      <c r="F54" s="1546">
        <v>25061</v>
      </c>
      <c r="G54" s="1600">
        <v>0</v>
      </c>
      <c r="H54" s="1600">
        <v>0</v>
      </c>
      <c r="I54" s="1545">
        <f>+J54+K54+L54+M54</f>
        <v>116842</v>
      </c>
      <c r="J54" s="1546">
        <f>33711+58073</f>
        <v>91784</v>
      </c>
      <c r="K54" s="1546">
        <v>25058</v>
      </c>
      <c r="L54" s="1600">
        <v>0</v>
      </c>
      <c r="M54" s="1600">
        <v>0</v>
      </c>
      <c r="N54" s="1545">
        <f>+J54+K54+P54</f>
        <v>116842</v>
      </c>
      <c r="O54" s="1985">
        <f t="shared" si="5"/>
        <v>99.997432496041768</v>
      </c>
      <c r="P54" s="1600">
        <v>0</v>
      </c>
      <c r="Q54" s="1986">
        <v>0</v>
      </c>
      <c r="R54" s="1600">
        <f t="shared" si="39"/>
        <v>0</v>
      </c>
      <c r="S54" s="3103"/>
      <c r="T54" s="537"/>
    </row>
    <row r="55" spans="1:20" s="493" customFormat="1" ht="12.75" customHeight="1" x14ac:dyDescent="0.2">
      <c r="A55" s="2811"/>
      <c r="B55" s="703" t="s">
        <v>13</v>
      </c>
      <c r="C55" s="2950"/>
      <c r="D55" s="1557">
        <f>+D56</f>
        <v>2473883</v>
      </c>
      <c r="E55" s="1558">
        <f>+E56</f>
        <v>2062482</v>
      </c>
      <c r="F55" s="1558">
        <f>F56</f>
        <v>411401</v>
      </c>
      <c r="G55" s="1912">
        <f>G56</f>
        <v>0</v>
      </c>
      <c r="H55" s="1912">
        <f>H56</f>
        <v>0</v>
      </c>
      <c r="I55" s="1557">
        <f>+I56</f>
        <v>2473880</v>
      </c>
      <c r="J55" s="1558">
        <f>+J56</f>
        <v>2062482</v>
      </c>
      <c r="K55" s="1558">
        <f>K56</f>
        <v>411398</v>
      </c>
      <c r="L55" s="1912">
        <f>L56</f>
        <v>0</v>
      </c>
      <c r="M55" s="1912">
        <f>M56</f>
        <v>0</v>
      </c>
      <c r="N55" s="1557">
        <f>+N56</f>
        <v>2473880</v>
      </c>
      <c r="O55" s="1979">
        <f t="shared" si="5"/>
        <v>99.999878733149458</v>
      </c>
      <c r="P55" s="1912">
        <f>P56</f>
        <v>0</v>
      </c>
      <c r="Q55" s="1987">
        <v>0</v>
      </c>
      <c r="R55" s="1912">
        <f t="shared" si="39"/>
        <v>0</v>
      </c>
      <c r="S55" s="3103"/>
      <c r="T55" s="537"/>
    </row>
    <row r="56" spans="1:20" s="493" customFormat="1" ht="12.75" customHeight="1" thickBot="1" x14ac:dyDescent="0.25">
      <c r="A56" s="2812"/>
      <c r="B56" s="1983" t="s">
        <v>15</v>
      </c>
      <c r="C56" s="2967"/>
      <c r="D56" s="1545">
        <f>+E56+F56+G56+H56</f>
        <v>2473883</v>
      </c>
      <c r="E56" s="1053">
        <f>1066855+995627</f>
        <v>2062482</v>
      </c>
      <c r="F56" s="1053">
        <v>411401</v>
      </c>
      <c r="G56" s="735">
        <v>0</v>
      </c>
      <c r="H56" s="735">
        <v>0</v>
      </c>
      <c r="I56" s="1545">
        <f>+J56+K56+L56+M56</f>
        <v>2473880</v>
      </c>
      <c r="J56" s="1053">
        <f>1066855+995627</f>
        <v>2062482</v>
      </c>
      <c r="K56" s="1053">
        <v>411398</v>
      </c>
      <c r="L56" s="735">
        <v>0</v>
      </c>
      <c r="M56" s="735">
        <v>0</v>
      </c>
      <c r="N56" s="1623">
        <f>+J56+K56+P56</f>
        <v>2473880</v>
      </c>
      <c r="O56" s="1985">
        <f t="shared" si="5"/>
        <v>99.999878733149458</v>
      </c>
      <c r="P56" s="735">
        <v>0</v>
      </c>
      <c r="Q56" s="1986">
        <v>0</v>
      </c>
      <c r="R56" s="735">
        <f t="shared" si="39"/>
        <v>0</v>
      </c>
      <c r="S56" s="3104"/>
      <c r="T56" s="537"/>
    </row>
    <row r="57" spans="1:20" s="493" customFormat="1" ht="61.5" customHeight="1" x14ac:dyDescent="0.2">
      <c r="A57" s="3096" t="s">
        <v>49</v>
      </c>
      <c r="B57" s="1972" t="s">
        <v>283</v>
      </c>
      <c r="C57" s="1687" t="s">
        <v>225</v>
      </c>
      <c r="D57" s="1688"/>
      <c r="E57" s="4"/>
      <c r="F57" s="4"/>
      <c r="G57" s="4"/>
      <c r="H57" s="1932"/>
      <c r="I57" s="1688"/>
      <c r="J57" s="4"/>
      <c r="K57" s="4"/>
      <c r="L57" s="4"/>
      <c r="M57" s="1932"/>
      <c r="N57" s="1688"/>
      <c r="O57" s="1973"/>
      <c r="P57" s="4"/>
      <c r="Q57" s="1973"/>
      <c r="R57" s="4">
        <f t="shared" ref="R57:R92" si="41">+P57-L57*0.25</f>
        <v>0</v>
      </c>
      <c r="S57" s="3102" t="s">
        <v>192</v>
      </c>
      <c r="T57" s="537"/>
    </row>
    <row r="58" spans="1:20" s="493" customFormat="1" ht="12.75" customHeight="1" x14ac:dyDescent="0.2">
      <c r="A58" s="3097"/>
      <c r="B58" s="565" t="s">
        <v>3</v>
      </c>
      <c r="C58" s="1694"/>
      <c r="D58" s="1697">
        <f t="shared" ref="D58:H58" si="42">+D59+D61</f>
        <v>215044</v>
      </c>
      <c r="E58" s="1479">
        <f t="shared" si="42"/>
        <v>215044</v>
      </c>
      <c r="F58" s="1713">
        <f t="shared" si="42"/>
        <v>0</v>
      </c>
      <c r="G58" s="1713">
        <f t="shared" si="42"/>
        <v>0</v>
      </c>
      <c r="H58" s="1713">
        <f t="shared" si="42"/>
        <v>0</v>
      </c>
      <c r="I58" s="1697">
        <f t="shared" ref="I58:N58" si="43">+I59+I61</f>
        <v>215044</v>
      </c>
      <c r="J58" s="1479">
        <f t="shared" si="43"/>
        <v>215044</v>
      </c>
      <c r="K58" s="1713">
        <f t="shared" si="43"/>
        <v>0</v>
      </c>
      <c r="L58" s="1713">
        <f t="shared" si="43"/>
        <v>0</v>
      </c>
      <c r="M58" s="1713">
        <f t="shared" si="43"/>
        <v>0</v>
      </c>
      <c r="N58" s="1697">
        <f t="shared" si="43"/>
        <v>215044</v>
      </c>
      <c r="O58" s="1699">
        <f t="shared" si="5"/>
        <v>100</v>
      </c>
      <c r="P58" s="1713">
        <f>+P59+P61</f>
        <v>0</v>
      </c>
      <c r="Q58" s="1713">
        <v>0</v>
      </c>
      <c r="R58" s="1713">
        <f t="shared" si="41"/>
        <v>0</v>
      </c>
      <c r="S58" s="3103"/>
      <c r="T58" s="537"/>
    </row>
    <row r="59" spans="1:20" s="493" customFormat="1" ht="12.75" customHeight="1" x14ac:dyDescent="0.2">
      <c r="A59" s="3097"/>
      <c r="B59" s="925" t="s">
        <v>18</v>
      </c>
      <c r="C59" s="3027" t="s">
        <v>177</v>
      </c>
      <c r="D59" s="1974">
        <f t="shared" ref="D59:N59" si="44">+D60</f>
        <v>9698</v>
      </c>
      <c r="E59" s="1657">
        <f t="shared" si="44"/>
        <v>9698</v>
      </c>
      <c r="F59" s="1984">
        <f t="shared" si="44"/>
        <v>0</v>
      </c>
      <c r="G59" s="1984">
        <f t="shared" si="44"/>
        <v>0</v>
      </c>
      <c r="H59" s="1984">
        <f t="shared" si="44"/>
        <v>0</v>
      </c>
      <c r="I59" s="1974">
        <f t="shared" si="44"/>
        <v>9698</v>
      </c>
      <c r="J59" s="1657">
        <f t="shared" si="44"/>
        <v>9698</v>
      </c>
      <c r="K59" s="1984">
        <f t="shared" si="44"/>
        <v>0</v>
      </c>
      <c r="L59" s="1984">
        <f t="shared" si="44"/>
        <v>0</v>
      </c>
      <c r="M59" s="1984">
        <f t="shared" si="44"/>
        <v>0</v>
      </c>
      <c r="N59" s="1974">
        <f t="shared" si="44"/>
        <v>9698</v>
      </c>
      <c r="O59" s="1975">
        <f t="shared" si="5"/>
        <v>100</v>
      </c>
      <c r="P59" s="1984">
        <f>+P60</f>
        <v>0</v>
      </c>
      <c r="Q59" s="1984">
        <v>0</v>
      </c>
      <c r="R59" s="1984">
        <f t="shared" si="41"/>
        <v>0</v>
      </c>
      <c r="S59" s="3103"/>
      <c r="T59" s="537"/>
    </row>
    <row r="60" spans="1:20" s="493" customFormat="1" ht="12.75" customHeight="1" x14ac:dyDescent="0.2">
      <c r="A60" s="3097"/>
      <c r="B60" s="1989" t="s">
        <v>8</v>
      </c>
      <c r="C60" s="2950"/>
      <c r="D60" s="1545">
        <f>+E60+F60+G60+H60</f>
        <v>9698</v>
      </c>
      <c r="E60" s="1546">
        <v>9698</v>
      </c>
      <c r="F60" s="1600">
        <v>0</v>
      </c>
      <c r="G60" s="1600">
        <v>0</v>
      </c>
      <c r="H60" s="1600">
        <v>0</v>
      </c>
      <c r="I60" s="1545">
        <f>+J60+K60+L60+M60</f>
        <v>9698</v>
      </c>
      <c r="J60" s="1546">
        <v>9698</v>
      </c>
      <c r="K60" s="1600">
        <v>0</v>
      </c>
      <c r="L60" s="1600">
        <v>0</v>
      </c>
      <c r="M60" s="1600">
        <v>0</v>
      </c>
      <c r="N60" s="1545">
        <f>+J60+K60+P60</f>
        <v>9698</v>
      </c>
      <c r="O60" s="1985">
        <f t="shared" si="5"/>
        <v>100</v>
      </c>
      <c r="P60" s="1600">
        <v>0</v>
      </c>
      <c r="Q60" s="1986">
        <v>0</v>
      </c>
      <c r="R60" s="1600">
        <f t="shared" si="41"/>
        <v>0</v>
      </c>
      <c r="S60" s="3103"/>
      <c r="T60" s="537"/>
    </row>
    <row r="61" spans="1:20" s="493" customFormat="1" ht="12.75" customHeight="1" x14ac:dyDescent="0.2">
      <c r="A61" s="3097"/>
      <c r="B61" s="703" t="s">
        <v>13</v>
      </c>
      <c r="C61" s="2950"/>
      <c r="D61" s="1557">
        <f>+D62</f>
        <v>205346</v>
      </c>
      <c r="E61" s="1558">
        <f>+E62</f>
        <v>205346</v>
      </c>
      <c r="F61" s="1912">
        <f>F62</f>
        <v>0</v>
      </c>
      <c r="G61" s="1912">
        <f>G62</f>
        <v>0</v>
      </c>
      <c r="H61" s="1912">
        <f>H62</f>
        <v>0</v>
      </c>
      <c r="I61" s="1557">
        <f>+I62</f>
        <v>205346</v>
      </c>
      <c r="J61" s="1558">
        <f>+J62</f>
        <v>205346</v>
      </c>
      <c r="K61" s="1912">
        <f>K62</f>
        <v>0</v>
      </c>
      <c r="L61" s="1912">
        <f>L62</f>
        <v>0</v>
      </c>
      <c r="M61" s="1912">
        <f>M62</f>
        <v>0</v>
      </c>
      <c r="N61" s="1557">
        <f>+N62</f>
        <v>205346</v>
      </c>
      <c r="O61" s="1979">
        <f t="shared" si="5"/>
        <v>100</v>
      </c>
      <c r="P61" s="1912">
        <f>P62</f>
        <v>0</v>
      </c>
      <c r="Q61" s="1987">
        <v>0</v>
      </c>
      <c r="R61" s="1912">
        <f t="shared" si="41"/>
        <v>0</v>
      </c>
      <c r="S61" s="3103"/>
      <c r="T61" s="537"/>
    </row>
    <row r="62" spans="1:20" s="493" customFormat="1" ht="12.75" customHeight="1" x14ac:dyDescent="0.2">
      <c r="A62" s="3097"/>
      <c r="B62" s="1980" t="s">
        <v>15</v>
      </c>
      <c r="C62" s="2950"/>
      <c r="D62" s="1545">
        <f>+E62+F62+G62+H62</f>
        <v>205346</v>
      </c>
      <c r="E62" s="1053">
        <v>205346</v>
      </c>
      <c r="F62" s="735">
        <v>0</v>
      </c>
      <c r="G62" s="735">
        <v>0</v>
      </c>
      <c r="H62" s="735">
        <v>0</v>
      </c>
      <c r="I62" s="1545">
        <f>+J62+K62+L62+M62</f>
        <v>205346</v>
      </c>
      <c r="J62" s="1053">
        <v>205346</v>
      </c>
      <c r="K62" s="735">
        <v>0</v>
      </c>
      <c r="L62" s="735">
        <v>0</v>
      </c>
      <c r="M62" s="735">
        <v>0</v>
      </c>
      <c r="N62" s="1545">
        <f>+J62+K62+P62</f>
        <v>205346</v>
      </c>
      <c r="O62" s="1985">
        <f t="shared" si="5"/>
        <v>100</v>
      </c>
      <c r="P62" s="735">
        <v>0</v>
      </c>
      <c r="Q62" s="1986">
        <v>0</v>
      </c>
      <c r="R62" s="735">
        <f t="shared" si="41"/>
        <v>0</v>
      </c>
      <c r="S62" s="3103"/>
      <c r="T62" s="537"/>
    </row>
    <row r="63" spans="1:20" s="493" customFormat="1" ht="12.75" customHeight="1" x14ac:dyDescent="0.2">
      <c r="A63" s="2811"/>
      <c r="B63" s="565" t="s">
        <v>17</v>
      </c>
      <c r="C63" s="1982"/>
      <c r="D63" s="1697">
        <f>+D64+D66</f>
        <v>215044</v>
      </c>
      <c r="E63" s="1479">
        <f>+E64+E66</f>
        <v>215044</v>
      </c>
      <c r="F63" s="1713">
        <f>F64+F66</f>
        <v>0</v>
      </c>
      <c r="G63" s="1713">
        <f>G64+G66</f>
        <v>0</v>
      </c>
      <c r="H63" s="1713">
        <f>H64+H66</f>
        <v>0</v>
      </c>
      <c r="I63" s="1697">
        <f>+I64+I66</f>
        <v>215044</v>
      </c>
      <c r="J63" s="1479">
        <f>+J64+J66</f>
        <v>215044</v>
      </c>
      <c r="K63" s="1713">
        <f>K64+K66</f>
        <v>0</v>
      </c>
      <c r="L63" s="1713">
        <f>L64+L66</f>
        <v>0</v>
      </c>
      <c r="M63" s="1713">
        <f>M64+M66</f>
        <v>0</v>
      </c>
      <c r="N63" s="1697">
        <f>+N64+N66</f>
        <v>215044</v>
      </c>
      <c r="O63" s="1699">
        <f t="shared" si="5"/>
        <v>100</v>
      </c>
      <c r="P63" s="1713">
        <f>P64+P66</f>
        <v>0</v>
      </c>
      <c r="Q63" s="1713">
        <v>0</v>
      </c>
      <c r="R63" s="1713">
        <f t="shared" si="41"/>
        <v>0</v>
      </c>
      <c r="S63" s="3103"/>
      <c r="T63" s="537"/>
    </row>
    <row r="64" spans="1:20" s="493" customFormat="1" ht="12.75" customHeight="1" x14ac:dyDescent="0.2">
      <c r="A64" s="2811"/>
      <c r="B64" s="925" t="s">
        <v>18</v>
      </c>
      <c r="C64" s="3027" t="s">
        <v>177</v>
      </c>
      <c r="D64" s="1974">
        <f>+D65</f>
        <v>9698</v>
      </c>
      <c r="E64" s="1657">
        <f>+E65</f>
        <v>9698</v>
      </c>
      <c r="F64" s="1984">
        <f>F65</f>
        <v>0</v>
      </c>
      <c r="G64" s="1984">
        <f>G65</f>
        <v>0</v>
      </c>
      <c r="H64" s="1984">
        <f>H65</f>
        <v>0</v>
      </c>
      <c r="I64" s="1974">
        <f>+I65</f>
        <v>9698</v>
      </c>
      <c r="J64" s="1657">
        <f>+J65</f>
        <v>9698</v>
      </c>
      <c r="K64" s="1984">
        <f>K65</f>
        <v>0</v>
      </c>
      <c r="L64" s="1984">
        <f>L65</f>
        <v>0</v>
      </c>
      <c r="M64" s="1984">
        <f>M65</f>
        <v>0</v>
      </c>
      <c r="N64" s="1974">
        <f>+N65</f>
        <v>9698</v>
      </c>
      <c r="O64" s="1975">
        <f t="shared" si="5"/>
        <v>100</v>
      </c>
      <c r="P64" s="1984">
        <f>P65</f>
        <v>0</v>
      </c>
      <c r="Q64" s="1984">
        <v>0</v>
      </c>
      <c r="R64" s="1984">
        <f t="shared" si="41"/>
        <v>0</v>
      </c>
      <c r="S64" s="3103"/>
      <c r="T64" s="537"/>
    </row>
    <row r="65" spans="1:23" s="493" customFormat="1" ht="12.75" customHeight="1" x14ac:dyDescent="0.2">
      <c r="A65" s="2811"/>
      <c r="B65" s="1989" t="s">
        <v>8</v>
      </c>
      <c r="C65" s="2950"/>
      <c r="D65" s="1545">
        <f>+E65+F65+G65+H65</f>
        <v>9698</v>
      </c>
      <c r="E65" s="1546">
        <v>9698</v>
      </c>
      <c r="F65" s="1600">
        <v>0</v>
      </c>
      <c r="G65" s="1600">
        <v>0</v>
      </c>
      <c r="H65" s="1600">
        <v>0</v>
      </c>
      <c r="I65" s="1545">
        <f>+J65+K65+L65+M65</f>
        <v>9698</v>
      </c>
      <c r="J65" s="1546">
        <v>9698</v>
      </c>
      <c r="K65" s="1600">
        <v>0</v>
      </c>
      <c r="L65" s="1600">
        <v>0</v>
      </c>
      <c r="M65" s="1600">
        <v>0</v>
      </c>
      <c r="N65" s="1545">
        <f>+J65+K65+P65</f>
        <v>9698</v>
      </c>
      <c r="O65" s="1985">
        <f t="shared" si="5"/>
        <v>100</v>
      </c>
      <c r="P65" s="1600">
        <v>0</v>
      </c>
      <c r="Q65" s="1986">
        <v>0</v>
      </c>
      <c r="R65" s="1600">
        <f t="shared" si="41"/>
        <v>0</v>
      </c>
      <c r="S65" s="3103"/>
      <c r="T65" s="537"/>
    </row>
    <row r="66" spans="1:23" s="493" customFormat="1" ht="12.75" customHeight="1" x14ac:dyDescent="0.2">
      <c r="A66" s="2811"/>
      <c r="B66" s="703" t="s">
        <v>13</v>
      </c>
      <c r="C66" s="2950"/>
      <c r="D66" s="1557">
        <f>+D67</f>
        <v>205346</v>
      </c>
      <c r="E66" s="1558">
        <f>+E67</f>
        <v>205346</v>
      </c>
      <c r="F66" s="1912">
        <f>F67</f>
        <v>0</v>
      </c>
      <c r="G66" s="1912">
        <f>G67</f>
        <v>0</v>
      </c>
      <c r="H66" s="1912">
        <f>H67</f>
        <v>0</v>
      </c>
      <c r="I66" s="1557">
        <f>+I67</f>
        <v>205346</v>
      </c>
      <c r="J66" s="1558">
        <f>+J67</f>
        <v>205346</v>
      </c>
      <c r="K66" s="1912">
        <f>K67</f>
        <v>0</v>
      </c>
      <c r="L66" s="1912">
        <f>L67</f>
        <v>0</v>
      </c>
      <c r="M66" s="1912">
        <f>M67</f>
        <v>0</v>
      </c>
      <c r="N66" s="1557">
        <f>+N67</f>
        <v>205346</v>
      </c>
      <c r="O66" s="1979">
        <f t="shared" si="5"/>
        <v>100</v>
      </c>
      <c r="P66" s="1912">
        <f>P67</f>
        <v>0</v>
      </c>
      <c r="Q66" s="1987">
        <v>0</v>
      </c>
      <c r="R66" s="1912">
        <f t="shared" si="41"/>
        <v>0</v>
      </c>
      <c r="S66" s="3103"/>
      <c r="T66" s="537"/>
    </row>
    <row r="67" spans="1:23" s="493" customFormat="1" ht="12.75" customHeight="1" thickBot="1" x14ac:dyDescent="0.25">
      <c r="A67" s="2812"/>
      <c r="B67" s="1983" t="s">
        <v>15</v>
      </c>
      <c r="C67" s="2967"/>
      <c r="D67" s="1623">
        <f>+E67+F67+G67+H67</f>
        <v>205346</v>
      </c>
      <c r="E67" s="1255">
        <v>205346</v>
      </c>
      <c r="F67" s="903">
        <v>0</v>
      </c>
      <c r="G67" s="903">
        <v>0</v>
      </c>
      <c r="H67" s="903">
        <v>0</v>
      </c>
      <c r="I67" s="1623">
        <f>+J67+K67+L67+M67</f>
        <v>205346</v>
      </c>
      <c r="J67" s="1255">
        <v>205346</v>
      </c>
      <c r="K67" s="903">
        <v>0</v>
      </c>
      <c r="L67" s="903">
        <v>0</v>
      </c>
      <c r="M67" s="903">
        <v>0</v>
      </c>
      <c r="N67" s="1623">
        <f>+J67+K67+P67</f>
        <v>205346</v>
      </c>
      <c r="O67" s="1990">
        <f t="shared" si="5"/>
        <v>100</v>
      </c>
      <c r="P67" s="903">
        <v>0</v>
      </c>
      <c r="Q67" s="1991">
        <v>0</v>
      </c>
      <c r="R67" s="903">
        <f t="shared" si="41"/>
        <v>0</v>
      </c>
      <c r="S67" s="3104"/>
      <c r="T67" s="537"/>
    </row>
    <row r="68" spans="1:23" s="493" customFormat="1" ht="29.25" customHeight="1" x14ac:dyDescent="0.2">
      <c r="A68" s="3096" t="s">
        <v>51</v>
      </c>
      <c r="B68" s="1972" t="s">
        <v>193</v>
      </c>
      <c r="C68" s="1687" t="s">
        <v>233</v>
      </c>
      <c r="D68" s="1688"/>
      <c r="E68" s="4"/>
      <c r="F68" s="4"/>
      <c r="G68" s="4"/>
      <c r="H68" s="1932"/>
      <c r="I68" s="1688"/>
      <c r="J68" s="4"/>
      <c r="K68" s="4"/>
      <c r="L68" s="4"/>
      <c r="M68" s="1932"/>
      <c r="N68" s="1992"/>
      <c r="O68" s="1993"/>
      <c r="P68" s="1994"/>
      <c r="Q68" s="1993"/>
      <c r="R68" s="4">
        <f t="shared" si="41"/>
        <v>0</v>
      </c>
      <c r="S68" s="3099" t="s">
        <v>194</v>
      </c>
      <c r="T68" s="537"/>
      <c r="W68" s="1995" t="s">
        <v>324</v>
      </c>
    </row>
    <row r="69" spans="1:23" s="493" customFormat="1" ht="12.75" customHeight="1" x14ac:dyDescent="0.2">
      <c r="A69" s="3097"/>
      <c r="B69" s="565" t="s">
        <v>3</v>
      </c>
      <c r="C69" s="1694"/>
      <c r="D69" s="1697">
        <f>+D70</f>
        <v>131477899</v>
      </c>
      <c r="E69" s="1479">
        <f t="shared" ref="E69:N70" si="45">+E70</f>
        <v>46808135</v>
      </c>
      <c r="F69" s="1479">
        <f t="shared" si="45"/>
        <v>18858043</v>
      </c>
      <c r="G69" s="1479">
        <f t="shared" si="45"/>
        <v>23705765</v>
      </c>
      <c r="H69" s="1479">
        <f t="shared" si="45"/>
        <v>42105956</v>
      </c>
      <c r="I69" s="1697">
        <f>+I70</f>
        <v>129691057</v>
      </c>
      <c r="J69" s="1479">
        <f t="shared" si="45"/>
        <v>46808135</v>
      </c>
      <c r="K69" s="1479">
        <f t="shared" si="45"/>
        <v>17071201</v>
      </c>
      <c r="L69" s="1479">
        <f t="shared" si="45"/>
        <v>23705765</v>
      </c>
      <c r="M69" s="1479">
        <f t="shared" si="45"/>
        <v>42105956</v>
      </c>
      <c r="N69" s="1697">
        <f t="shared" si="45"/>
        <v>67976864</v>
      </c>
      <c r="O69" s="1699">
        <f t="shared" si="5"/>
        <v>51.702122194696763</v>
      </c>
      <c r="P69" s="1479">
        <f>+P70</f>
        <v>4097528</v>
      </c>
      <c r="Q69" s="1699">
        <f t="shared" si="17"/>
        <v>17.284943135140335</v>
      </c>
      <c r="R69" s="1479">
        <f t="shared" si="41"/>
        <v>-1828913.25</v>
      </c>
      <c r="S69" s="3100"/>
      <c r="T69" s="537"/>
      <c r="U69" s="537"/>
      <c r="V69" s="537"/>
      <c r="W69" s="537">
        <f>+N69+N76</f>
        <v>69011504</v>
      </c>
    </row>
    <row r="70" spans="1:23" s="493" customFormat="1" ht="12.75" customHeight="1" x14ac:dyDescent="0.2">
      <c r="A70" s="3097"/>
      <c r="B70" s="703" t="s">
        <v>13</v>
      </c>
      <c r="C70" s="2950" t="s">
        <v>177</v>
      </c>
      <c r="D70" s="1557">
        <f>+D71</f>
        <v>131477899</v>
      </c>
      <c r="E70" s="1558">
        <f t="shared" si="45"/>
        <v>46808135</v>
      </c>
      <c r="F70" s="1558">
        <f t="shared" si="45"/>
        <v>18858043</v>
      </c>
      <c r="G70" s="1558">
        <f t="shared" si="45"/>
        <v>23705765</v>
      </c>
      <c r="H70" s="1558">
        <f t="shared" si="45"/>
        <v>42105956</v>
      </c>
      <c r="I70" s="1557">
        <f>+I71</f>
        <v>129691057</v>
      </c>
      <c r="J70" s="1558">
        <f t="shared" si="45"/>
        <v>46808135</v>
      </c>
      <c r="K70" s="1558">
        <f t="shared" si="45"/>
        <v>17071201</v>
      </c>
      <c r="L70" s="1558">
        <f t="shared" si="45"/>
        <v>23705765</v>
      </c>
      <c r="M70" s="1558">
        <f t="shared" si="45"/>
        <v>42105956</v>
      </c>
      <c r="N70" s="1996">
        <f t="shared" si="45"/>
        <v>67976864</v>
      </c>
      <c r="O70" s="1997">
        <f t="shared" si="5"/>
        <v>51.702122194696763</v>
      </c>
      <c r="P70" s="1998">
        <f>+P71</f>
        <v>4097528</v>
      </c>
      <c r="Q70" s="1997">
        <f t="shared" si="17"/>
        <v>17.284943135140335</v>
      </c>
      <c r="R70" s="1558">
        <f t="shared" si="41"/>
        <v>-1828913.25</v>
      </c>
      <c r="S70" s="3100"/>
      <c r="T70" s="537"/>
      <c r="U70" s="537"/>
      <c r="V70" s="537"/>
      <c r="W70" s="537">
        <f>+N72+N79</f>
        <v>73441480</v>
      </c>
    </row>
    <row r="71" spans="1:23" s="493" customFormat="1" ht="12.75" customHeight="1" x14ac:dyDescent="0.2">
      <c r="A71" s="3097"/>
      <c r="B71" s="1980" t="s">
        <v>15</v>
      </c>
      <c r="C71" s="2950"/>
      <c r="D71" s="1545">
        <f>+E71+F71+G71+H71</f>
        <v>131477899</v>
      </c>
      <c r="E71" s="1053">
        <f>10748789+22033262+14026084</f>
        <v>46808135</v>
      </c>
      <c r="F71" s="1053">
        <v>18858043</v>
      </c>
      <c r="G71" s="1053">
        <v>23705765</v>
      </c>
      <c r="H71" s="1981">
        <f>20949924+21156032</f>
        <v>42105956</v>
      </c>
      <c r="I71" s="1545">
        <f>+J71+K71+L71+M71</f>
        <v>129691057</v>
      </c>
      <c r="J71" s="1053">
        <f>10748789+22033262+14026084</f>
        <v>46808135</v>
      </c>
      <c r="K71" s="1053">
        <v>17071201</v>
      </c>
      <c r="L71" s="1053">
        <v>23705765</v>
      </c>
      <c r="M71" s="1981">
        <f>20949924+21156032</f>
        <v>42105956</v>
      </c>
      <c r="N71" s="1205">
        <f>+J71+K71+P71</f>
        <v>67976864</v>
      </c>
      <c r="O71" s="1978">
        <f t="shared" si="5"/>
        <v>51.702122194696763</v>
      </c>
      <c r="P71" s="1053">
        <v>4097528</v>
      </c>
      <c r="Q71" s="1978">
        <f t="shared" si="17"/>
        <v>17.284943135140335</v>
      </c>
      <c r="R71" s="1053">
        <f t="shared" si="41"/>
        <v>-1828913.25</v>
      </c>
      <c r="S71" s="3100"/>
      <c r="T71" s="537"/>
    </row>
    <row r="72" spans="1:23" s="493" customFormat="1" ht="12.75" customHeight="1" x14ac:dyDescent="0.2">
      <c r="A72" s="2811"/>
      <c r="B72" s="565" t="s">
        <v>17</v>
      </c>
      <c r="C72" s="1982"/>
      <c r="D72" s="1477">
        <f t="shared" ref="D72:N73" si="46">+D73</f>
        <v>131477899</v>
      </c>
      <c r="E72" s="1479">
        <f t="shared" si="46"/>
        <v>46511853</v>
      </c>
      <c r="F72" s="1479">
        <f t="shared" si="46"/>
        <v>18789056</v>
      </c>
      <c r="G72" s="1479">
        <f t="shared" si="46"/>
        <v>29700000</v>
      </c>
      <c r="H72" s="1479">
        <f t="shared" si="46"/>
        <v>36476990</v>
      </c>
      <c r="I72" s="1477">
        <f t="shared" si="46"/>
        <v>130673899</v>
      </c>
      <c r="J72" s="1479">
        <f t="shared" si="46"/>
        <v>46511853</v>
      </c>
      <c r="K72" s="1479">
        <f t="shared" si="46"/>
        <v>17985056</v>
      </c>
      <c r="L72" s="1479">
        <f t="shared" si="46"/>
        <v>29700000</v>
      </c>
      <c r="M72" s="1479">
        <f t="shared" si="46"/>
        <v>36476990</v>
      </c>
      <c r="N72" s="1697">
        <f t="shared" si="46"/>
        <v>72286909</v>
      </c>
      <c r="O72" s="1699">
        <f t="shared" si="5"/>
        <v>54.980273909001241</v>
      </c>
      <c r="P72" s="1479">
        <f>+P73</f>
        <v>7790000</v>
      </c>
      <c r="Q72" s="1699">
        <f t="shared" si="17"/>
        <v>26.228956228956228</v>
      </c>
      <c r="R72" s="1479">
        <f t="shared" si="41"/>
        <v>365000</v>
      </c>
      <c r="S72" s="3100"/>
      <c r="T72" s="537"/>
    </row>
    <row r="73" spans="1:23" s="493" customFormat="1" ht="12.75" customHeight="1" x14ac:dyDescent="0.2">
      <c r="A73" s="2811"/>
      <c r="B73" s="703" t="s">
        <v>13</v>
      </c>
      <c r="C73" s="2950" t="s">
        <v>42</v>
      </c>
      <c r="D73" s="1557">
        <f t="shared" si="46"/>
        <v>131477899</v>
      </c>
      <c r="E73" s="1558">
        <f t="shared" si="46"/>
        <v>46511853</v>
      </c>
      <c r="F73" s="1558">
        <f t="shared" si="46"/>
        <v>18789056</v>
      </c>
      <c r="G73" s="1558">
        <f t="shared" si="46"/>
        <v>29700000</v>
      </c>
      <c r="H73" s="1558">
        <f t="shared" si="46"/>
        <v>36476990</v>
      </c>
      <c r="I73" s="1557">
        <f t="shared" si="46"/>
        <v>130673899</v>
      </c>
      <c r="J73" s="1558">
        <f t="shared" si="46"/>
        <v>46511853</v>
      </c>
      <c r="K73" s="1558">
        <f t="shared" si="46"/>
        <v>17985056</v>
      </c>
      <c r="L73" s="1558">
        <f t="shared" si="46"/>
        <v>29700000</v>
      </c>
      <c r="M73" s="1558">
        <f t="shared" si="46"/>
        <v>36476990</v>
      </c>
      <c r="N73" s="1996">
        <f>+N74</f>
        <v>72286909</v>
      </c>
      <c r="O73" s="1997">
        <f t="shared" si="5"/>
        <v>54.980273909001241</v>
      </c>
      <c r="P73" s="1998">
        <f>+P74</f>
        <v>7790000</v>
      </c>
      <c r="Q73" s="1997">
        <f t="shared" si="17"/>
        <v>26.228956228956228</v>
      </c>
      <c r="R73" s="1558">
        <f t="shared" si="41"/>
        <v>365000</v>
      </c>
      <c r="S73" s="3100"/>
      <c r="T73" s="537"/>
    </row>
    <row r="74" spans="1:23" s="493" customFormat="1" ht="12.75" customHeight="1" thickBot="1" x14ac:dyDescent="0.25">
      <c r="A74" s="3098"/>
      <c r="B74" s="1999" t="s">
        <v>15</v>
      </c>
      <c r="C74" s="3014"/>
      <c r="D74" s="2000">
        <f>+E74+F74+G74+H74</f>
        <v>131477899</v>
      </c>
      <c r="E74" s="2001">
        <f>10739103+22042948+13729802</f>
        <v>46511853</v>
      </c>
      <c r="F74" s="2001">
        <v>18789056</v>
      </c>
      <c r="G74" s="2001">
        <v>29700000</v>
      </c>
      <c r="H74" s="2002">
        <f>21935578+14541412</f>
        <v>36476990</v>
      </c>
      <c r="I74" s="2000">
        <f>+J74+K74+L74+M74</f>
        <v>130673899</v>
      </c>
      <c r="J74" s="2001">
        <f>10739103+22042948+13729802</f>
        <v>46511853</v>
      </c>
      <c r="K74" s="2001">
        <v>17985056</v>
      </c>
      <c r="L74" s="2001">
        <v>29700000</v>
      </c>
      <c r="M74" s="2002">
        <f>21935578+14541412</f>
        <v>36476990</v>
      </c>
      <c r="N74" s="2003">
        <f>+J74+K74+P74</f>
        <v>72286909</v>
      </c>
      <c r="O74" s="2004">
        <f t="shared" si="5"/>
        <v>54.980273909001241</v>
      </c>
      <c r="P74" s="1255">
        <v>7790000</v>
      </c>
      <c r="Q74" s="2004">
        <f t="shared" si="17"/>
        <v>26.228956228956228</v>
      </c>
      <c r="R74" s="2001">
        <f t="shared" si="41"/>
        <v>365000</v>
      </c>
      <c r="S74" s="3100"/>
      <c r="T74" s="537"/>
    </row>
    <row r="75" spans="1:23" s="493" customFormat="1" ht="27" customHeight="1" x14ac:dyDescent="0.2">
      <c r="A75" s="3096" t="s">
        <v>52</v>
      </c>
      <c r="B75" s="1972" t="s">
        <v>321</v>
      </c>
      <c r="C75" s="1687" t="s">
        <v>225</v>
      </c>
      <c r="D75" s="1688"/>
      <c r="E75" s="4"/>
      <c r="F75" s="4"/>
      <c r="G75" s="4"/>
      <c r="H75" s="1932"/>
      <c r="I75" s="1688"/>
      <c r="J75" s="4"/>
      <c r="K75" s="1988"/>
      <c r="L75" s="4"/>
      <c r="M75" s="1932"/>
      <c r="N75" s="1992"/>
      <c r="O75" s="1993"/>
      <c r="P75" s="2005"/>
      <c r="Q75" s="1993"/>
      <c r="R75" s="4">
        <f t="shared" si="41"/>
        <v>0</v>
      </c>
      <c r="S75" s="3099" t="s">
        <v>194</v>
      </c>
      <c r="T75" s="537"/>
    </row>
    <row r="76" spans="1:23" s="493" customFormat="1" ht="12.75" customHeight="1" x14ac:dyDescent="0.2">
      <c r="A76" s="3097"/>
      <c r="B76" s="565" t="s">
        <v>3</v>
      </c>
      <c r="C76" s="1694"/>
      <c r="D76" s="1697">
        <f>+D77</f>
        <v>1463813</v>
      </c>
      <c r="E76" s="1479">
        <f t="shared" ref="E76:N77" si="47">+E77</f>
        <v>878826</v>
      </c>
      <c r="F76" s="1479">
        <f t="shared" si="47"/>
        <v>165860</v>
      </c>
      <c r="G76" s="1479">
        <f t="shared" si="47"/>
        <v>300000</v>
      </c>
      <c r="H76" s="1479">
        <f t="shared" si="47"/>
        <v>119127</v>
      </c>
      <c r="I76" s="1697">
        <f>+I77</f>
        <v>1453767</v>
      </c>
      <c r="J76" s="1479">
        <f t="shared" si="47"/>
        <v>878826</v>
      </c>
      <c r="K76" s="1479">
        <f t="shared" si="47"/>
        <v>155814</v>
      </c>
      <c r="L76" s="1479">
        <f t="shared" si="47"/>
        <v>300000</v>
      </c>
      <c r="M76" s="1479">
        <f t="shared" si="47"/>
        <v>119127</v>
      </c>
      <c r="N76" s="1697">
        <f t="shared" si="47"/>
        <v>1034640</v>
      </c>
      <c r="O76" s="1699">
        <f t="shared" ref="O76:O138" si="48">N76/D76*100</f>
        <v>70.681159410389171</v>
      </c>
      <c r="P76" s="1479">
        <f>+P77</f>
        <v>0</v>
      </c>
      <c r="Q76" s="1699">
        <f t="shared" si="17"/>
        <v>0</v>
      </c>
      <c r="R76" s="1479">
        <f t="shared" si="41"/>
        <v>-75000</v>
      </c>
      <c r="S76" s="3100"/>
      <c r="T76" s="537"/>
    </row>
    <row r="77" spans="1:23" s="493" customFormat="1" ht="12.75" customHeight="1" x14ac:dyDescent="0.2">
      <c r="A77" s="3097"/>
      <c r="B77" s="703" t="s">
        <v>13</v>
      </c>
      <c r="C77" s="2950" t="s">
        <v>177</v>
      </c>
      <c r="D77" s="1557">
        <f>+D78</f>
        <v>1463813</v>
      </c>
      <c r="E77" s="1558">
        <f t="shared" si="47"/>
        <v>878826</v>
      </c>
      <c r="F77" s="1558">
        <f t="shared" si="47"/>
        <v>165860</v>
      </c>
      <c r="G77" s="1558">
        <f t="shared" si="47"/>
        <v>300000</v>
      </c>
      <c r="H77" s="1558">
        <f t="shared" si="47"/>
        <v>119127</v>
      </c>
      <c r="I77" s="1557">
        <f>+I78</f>
        <v>1453767</v>
      </c>
      <c r="J77" s="1558">
        <f t="shared" si="47"/>
        <v>878826</v>
      </c>
      <c r="K77" s="1558">
        <f t="shared" si="47"/>
        <v>155814</v>
      </c>
      <c r="L77" s="1558">
        <f t="shared" si="47"/>
        <v>300000</v>
      </c>
      <c r="M77" s="1558">
        <f t="shared" si="47"/>
        <v>119127</v>
      </c>
      <c r="N77" s="1996">
        <f t="shared" si="47"/>
        <v>1034640</v>
      </c>
      <c r="O77" s="1997">
        <f t="shared" si="48"/>
        <v>70.681159410389171</v>
      </c>
      <c r="P77" s="1998">
        <f>+P78</f>
        <v>0</v>
      </c>
      <c r="Q77" s="1997">
        <f t="shared" si="17"/>
        <v>0</v>
      </c>
      <c r="R77" s="1558">
        <f t="shared" si="41"/>
        <v>-75000</v>
      </c>
      <c r="S77" s="3100"/>
      <c r="T77" s="537"/>
    </row>
    <row r="78" spans="1:23" s="493" customFormat="1" ht="12.75" customHeight="1" x14ac:dyDescent="0.2">
      <c r="A78" s="3097"/>
      <c r="B78" s="1980" t="s">
        <v>15</v>
      </c>
      <c r="C78" s="2950"/>
      <c r="D78" s="1545">
        <f>+E78+F78+G78+H78</f>
        <v>1463813</v>
      </c>
      <c r="E78" s="1053">
        <f>134277+392458+352091</f>
        <v>878826</v>
      </c>
      <c r="F78" s="1053">
        <v>165860</v>
      </c>
      <c r="G78" s="1053">
        <v>300000</v>
      </c>
      <c r="H78" s="1981">
        <f>64422+54705</f>
        <v>119127</v>
      </c>
      <c r="I78" s="1545">
        <f>+J78+K78+L78+M78</f>
        <v>1453767</v>
      </c>
      <c r="J78" s="1053">
        <f>134277+392458+352091</f>
        <v>878826</v>
      </c>
      <c r="K78" s="1053">
        <v>155814</v>
      </c>
      <c r="L78" s="1053">
        <v>300000</v>
      </c>
      <c r="M78" s="1981">
        <f>64422+54705</f>
        <v>119127</v>
      </c>
      <c r="N78" s="1205">
        <f>+J78+K78+P78</f>
        <v>1034640</v>
      </c>
      <c r="O78" s="1978">
        <f t="shared" si="48"/>
        <v>70.681159410389171</v>
      </c>
      <c r="P78" s="1053">
        <v>0</v>
      </c>
      <c r="Q78" s="1978">
        <f t="shared" si="17"/>
        <v>0</v>
      </c>
      <c r="R78" s="1053">
        <f t="shared" si="41"/>
        <v>-75000</v>
      </c>
      <c r="S78" s="3100"/>
      <c r="T78" s="537"/>
    </row>
    <row r="79" spans="1:23" s="493" customFormat="1" ht="12.75" customHeight="1" x14ac:dyDescent="0.2">
      <c r="A79" s="2811"/>
      <c r="B79" s="565" t="s">
        <v>17</v>
      </c>
      <c r="C79" s="1982"/>
      <c r="D79" s="1477">
        <f t="shared" ref="D79:N80" si="49">+D80</f>
        <v>1463813</v>
      </c>
      <c r="E79" s="1479">
        <f t="shared" si="49"/>
        <v>878826</v>
      </c>
      <c r="F79" s="1479">
        <f t="shared" si="49"/>
        <v>165860</v>
      </c>
      <c r="G79" s="1479">
        <f t="shared" si="49"/>
        <v>300000</v>
      </c>
      <c r="H79" s="1479">
        <f t="shared" si="49"/>
        <v>119127</v>
      </c>
      <c r="I79" s="1477">
        <f t="shared" si="49"/>
        <v>1573698</v>
      </c>
      <c r="J79" s="1479">
        <f t="shared" si="49"/>
        <v>878826</v>
      </c>
      <c r="K79" s="1479">
        <f t="shared" si="49"/>
        <v>275745</v>
      </c>
      <c r="L79" s="1479">
        <f t="shared" si="49"/>
        <v>300000</v>
      </c>
      <c r="M79" s="1479">
        <f t="shared" si="49"/>
        <v>119127</v>
      </c>
      <c r="N79" s="1697">
        <f t="shared" si="49"/>
        <v>1154571</v>
      </c>
      <c r="O79" s="1699">
        <f t="shared" si="48"/>
        <v>78.874214124345116</v>
      </c>
      <c r="P79" s="1479">
        <f>+P80</f>
        <v>0</v>
      </c>
      <c r="Q79" s="1699">
        <f t="shared" si="17"/>
        <v>0</v>
      </c>
      <c r="R79" s="1479">
        <f t="shared" si="41"/>
        <v>-75000</v>
      </c>
      <c r="S79" s="3100"/>
      <c r="T79" s="537"/>
    </row>
    <row r="80" spans="1:23" s="493" customFormat="1" ht="12.75" customHeight="1" x14ac:dyDescent="0.2">
      <c r="A80" s="2811"/>
      <c r="B80" s="703" t="s">
        <v>13</v>
      </c>
      <c r="C80" s="2950" t="s">
        <v>42</v>
      </c>
      <c r="D80" s="1557">
        <f t="shared" si="49"/>
        <v>1463813</v>
      </c>
      <c r="E80" s="1558">
        <f t="shared" si="49"/>
        <v>878826</v>
      </c>
      <c r="F80" s="1558">
        <f t="shared" si="49"/>
        <v>165860</v>
      </c>
      <c r="G80" s="1558">
        <f t="shared" si="49"/>
        <v>300000</v>
      </c>
      <c r="H80" s="1558">
        <f t="shared" si="49"/>
        <v>119127</v>
      </c>
      <c r="I80" s="1557">
        <f t="shared" si="49"/>
        <v>1573698</v>
      </c>
      <c r="J80" s="1558">
        <f t="shared" si="49"/>
        <v>878826</v>
      </c>
      <c r="K80" s="1558">
        <f t="shared" si="49"/>
        <v>275745</v>
      </c>
      <c r="L80" s="1558">
        <f t="shared" si="49"/>
        <v>300000</v>
      </c>
      <c r="M80" s="1558">
        <f t="shared" si="49"/>
        <v>119127</v>
      </c>
      <c r="N80" s="1996">
        <f>+N81</f>
        <v>1154571</v>
      </c>
      <c r="O80" s="1997">
        <f t="shared" si="48"/>
        <v>78.874214124345116</v>
      </c>
      <c r="P80" s="1998">
        <f>+P81</f>
        <v>0</v>
      </c>
      <c r="Q80" s="1997">
        <f t="shared" ref="Q80:Q143" si="50">P80/G80*100</f>
        <v>0</v>
      </c>
      <c r="R80" s="1558">
        <f t="shared" si="41"/>
        <v>-75000</v>
      </c>
      <c r="S80" s="3100"/>
      <c r="T80" s="537"/>
    </row>
    <row r="81" spans="1:20" s="493" customFormat="1" ht="12.75" customHeight="1" thickBot="1" x14ac:dyDescent="0.25">
      <c r="A81" s="2812"/>
      <c r="B81" s="1983" t="s">
        <v>15</v>
      </c>
      <c r="C81" s="2967"/>
      <c r="D81" s="1623">
        <f>+E81+F81+G81+H81</f>
        <v>1463813</v>
      </c>
      <c r="E81" s="1255">
        <f>134277+392458+352091</f>
        <v>878826</v>
      </c>
      <c r="F81" s="1255">
        <v>165860</v>
      </c>
      <c r="G81" s="1255">
        <v>300000</v>
      </c>
      <c r="H81" s="2006">
        <f>64422+54705</f>
        <v>119127</v>
      </c>
      <c r="I81" s="1623">
        <f>+J81+K81+L81+M81</f>
        <v>1573698</v>
      </c>
      <c r="J81" s="1255">
        <f>134277+392458+352091</f>
        <v>878826</v>
      </c>
      <c r="K81" s="1255">
        <v>275745</v>
      </c>
      <c r="L81" s="1255">
        <v>300000</v>
      </c>
      <c r="M81" s="2006">
        <f>64422+54705</f>
        <v>119127</v>
      </c>
      <c r="N81" s="2003">
        <f>+J81+K81+P81</f>
        <v>1154571</v>
      </c>
      <c r="O81" s="2004">
        <f t="shared" si="48"/>
        <v>78.874214124345116</v>
      </c>
      <c r="P81" s="1255">
        <v>0</v>
      </c>
      <c r="Q81" s="2004">
        <f t="shared" si="50"/>
        <v>0</v>
      </c>
      <c r="R81" s="1255">
        <f t="shared" si="41"/>
        <v>-75000</v>
      </c>
      <c r="S81" s="3101"/>
      <c r="T81" s="537"/>
    </row>
    <row r="82" spans="1:20" s="493" customFormat="1" ht="38.25" customHeight="1" x14ac:dyDescent="0.2">
      <c r="A82" s="3157" t="s">
        <v>53</v>
      </c>
      <c r="B82" s="2007" t="s">
        <v>195</v>
      </c>
      <c r="C82" s="2008" t="s">
        <v>233</v>
      </c>
      <c r="D82" s="1992"/>
      <c r="E82" s="1994"/>
      <c r="F82" s="1994"/>
      <c r="G82" s="1994"/>
      <c r="H82" s="2009"/>
      <c r="I82" s="1992"/>
      <c r="J82" s="1994"/>
      <c r="K82" s="1994"/>
      <c r="L82" s="1994"/>
      <c r="M82" s="2009"/>
      <c r="N82" s="1992"/>
      <c r="O82" s="1993"/>
      <c r="P82" s="1994"/>
      <c r="Q82" s="1993"/>
      <c r="R82" s="1994">
        <f t="shared" si="41"/>
        <v>0</v>
      </c>
      <c r="S82" s="3092" t="s">
        <v>196</v>
      </c>
      <c r="T82" s="537"/>
    </row>
    <row r="83" spans="1:20" s="493" customFormat="1" ht="12.75" customHeight="1" x14ac:dyDescent="0.2">
      <c r="A83" s="3097"/>
      <c r="B83" s="565" t="s">
        <v>3</v>
      </c>
      <c r="C83" s="1694"/>
      <c r="D83" s="1697">
        <f>D84+D86</f>
        <v>948355</v>
      </c>
      <c r="E83" s="1479">
        <f>+E86+E84</f>
        <v>256997</v>
      </c>
      <c r="F83" s="1479">
        <f>+F86+F84</f>
        <v>375679</v>
      </c>
      <c r="G83" s="1479">
        <f>+G86+G84</f>
        <v>315679</v>
      </c>
      <c r="H83" s="1479">
        <f>+H86+H84</f>
        <v>0</v>
      </c>
      <c r="I83" s="1697">
        <f>I84+I86</f>
        <v>869538</v>
      </c>
      <c r="J83" s="1479">
        <f>+J86+J84</f>
        <v>256997</v>
      </c>
      <c r="K83" s="1479">
        <f>+K86+K84</f>
        <v>296862</v>
      </c>
      <c r="L83" s="1479">
        <f>+L86+L84</f>
        <v>315679</v>
      </c>
      <c r="M83" s="1479">
        <f>+M86+M84</f>
        <v>0</v>
      </c>
      <c r="N83" s="1697">
        <f>P83+J83+K83</f>
        <v>609034</v>
      </c>
      <c r="O83" s="1699">
        <f t="shared" si="48"/>
        <v>64.220044181767378</v>
      </c>
      <c r="P83" s="1479">
        <f>+P86+P84</f>
        <v>55175</v>
      </c>
      <c r="Q83" s="1699">
        <f t="shared" si="50"/>
        <v>17.478197789526703</v>
      </c>
      <c r="R83" s="1479">
        <f t="shared" si="41"/>
        <v>-23744.75</v>
      </c>
      <c r="S83" s="3093"/>
      <c r="T83" s="537"/>
    </row>
    <row r="84" spans="1:20" s="493" customFormat="1" ht="12.75" customHeight="1" x14ac:dyDescent="0.2">
      <c r="A84" s="3097"/>
      <c r="B84" s="925" t="s">
        <v>18</v>
      </c>
      <c r="C84" s="2950" t="s">
        <v>177</v>
      </c>
      <c r="D84" s="1996">
        <f>D85</f>
        <v>142894</v>
      </c>
      <c r="E84" s="1998">
        <f>+E85</f>
        <v>39190</v>
      </c>
      <c r="F84" s="1998">
        <f>+F85</f>
        <v>56352</v>
      </c>
      <c r="G84" s="1998">
        <f>+G85</f>
        <v>47352</v>
      </c>
      <c r="H84" s="1998">
        <f>+H85</f>
        <v>0</v>
      </c>
      <c r="I84" s="1996">
        <f>I85</f>
        <v>136693</v>
      </c>
      <c r="J84" s="1998">
        <f>+J85</f>
        <v>39190</v>
      </c>
      <c r="K84" s="1998">
        <f>+K85</f>
        <v>50151</v>
      </c>
      <c r="L84" s="1998">
        <f>+L85</f>
        <v>47352</v>
      </c>
      <c r="M84" s="1998">
        <f>+M85</f>
        <v>0</v>
      </c>
      <c r="N84" s="1996">
        <f t="shared" ref="N84:N92" si="51">P84+J84+K84</f>
        <v>97617</v>
      </c>
      <c r="O84" s="1997">
        <f t="shared" si="48"/>
        <v>68.314274917071387</v>
      </c>
      <c r="P84" s="1998">
        <f>+P85</f>
        <v>8276</v>
      </c>
      <c r="Q84" s="1997">
        <f t="shared" si="50"/>
        <v>17.477614461902348</v>
      </c>
      <c r="R84" s="1998">
        <f t="shared" si="41"/>
        <v>-3562</v>
      </c>
      <c r="S84" s="3093"/>
      <c r="T84" s="537"/>
    </row>
    <row r="85" spans="1:20" s="493" customFormat="1" ht="12.75" customHeight="1" x14ac:dyDescent="0.2">
      <c r="A85" s="3097"/>
      <c r="B85" s="855" t="s">
        <v>8</v>
      </c>
      <c r="C85" s="2950"/>
      <c r="D85" s="1545">
        <f>+E85+F85+G85+H85</f>
        <v>142894</v>
      </c>
      <c r="E85" s="1053">
        <v>39190</v>
      </c>
      <c r="F85" s="1053">
        <v>56352</v>
      </c>
      <c r="G85" s="1053">
        <v>47352</v>
      </c>
      <c r="H85" s="2010">
        <v>0</v>
      </c>
      <c r="I85" s="1545">
        <f>+J85+K85+L85+M85</f>
        <v>136693</v>
      </c>
      <c r="J85" s="1053">
        <v>39190</v>
      </c>
      <c r="K85" s="1053">
        <v>50151</v>
      </c>
      <c r="L85" s="1053">
        <v>47352</v>
      </c>
      <c r="M85" s="2010">
        <v>0</v>
      </c>
      <c r="N85" s="1205">
        <f t="shared" si="51"/>
        <v>97617</v>
      </c>
      <c r="O85" s="1978">
        <f t="shared" si="48"/>
        <v>68.314274917071387</v>
      </c>
      <c r="P85" s="1053">
        <v>8276</v>
      </c>
      <c r="Q85" s="1978">
        <f t="shared" si="50"/>
        <v>17.477614461902348</v>
      </c>
      <c r="R85" s="1053">
        <f t="shared" si="41"/>
        <v>-3562</v>
      </c>
      <c r="S85" s="3093"/>
      <c r="T85" s="537"/>
    </row>
    <row r="86" spans="1:20" s="493" customFormat="1" ht="12.75" customHeight="1" x14ac:dyDescent="0.2">
      <c r="A86" s="3097"/>
      <c r="B86" s="703" t="s">
        <v>13</v>
      </c>
      <c r="C86" s="2950"/>
      <c r="D86" s="1557">
        <f t="shared" ref="D86:M86" si="52">+D87</f>
        <v>805461</v>
      </c>
      <c r="E86" s="1558">
        <f t="shared" si="52"/>
        <v>217807</v>
      </c>
      <c r="F86" s="1558">
        <f t="shared" si="52"/>
        <v>319327</v>
      </c>
      <c r="G86" s="1558">
        <f t="shared" si="52"/>
        <v>268327</v>
      </c>
      <c r="H86" s="1558">
        <f t="shared" si="52"/>
        <v>0</v>
      </c>
      <c r="I86" s="1557">
        <f t="shared" si="52"/>
        <v>732845</v>
      </c>
      <c r="J86" s="1558">
        <f t="shared" si="52"/>
        <v>217807</v>
      </c>
      <c r="K86" s="1558">
        <f t="shared" si="52"/>
        <v>246711</v>
      </c>
      <c r="L86" s="1558">
        <f t="shared" si="52"/>
        <v>268327</v>
      </c>
      <c r="M86" s="1558">
        <f t="shared" si="52"/>
        <v>0</v>
      </c>
      <c r="N86" s="1557">
        <f t="shared" si="51"/>
        <v>511417</v>
      </c>
      <c r="O86" s="2011">
        <f t="shared" si="48"/>
        <v>63.493701122711087</v>
      </c>
      <c r="P86" s="1558">
        <f>+P87</f>
        <v>46899</v>
      </c>
      <c r="Q86" s="2011">
        <f t="shared" si="50"/>
        <v>17.478300730079344</v>
      </c>
      <c r="R86" s="1558">
        <f t="shared" si="41"/>
        <v>-20182.75</v>
      </c>
      <c r="S86" s="3093"/>
      <c r="T86" s="537"/>
    </row>
    <row r="87" spans="1:20" s="493" customFormat="1" ht="12.75" customHeight="1" x14ac:dyDescent="0.2">
      <c r="A87" s="3097"/>
      <c r="B87" s="2012" t="s">
        <v>15</v>
      </c>
      <c r="C87" s="2950"/>
      <c r="D87" s="1545">
        <f>+E87+F87+G87+H87</f>
        <v>805461</v>
      </c>
      <c r="E87" s="1546">
        <v>217807</v>
      </c>
      <c r="F87" s="1546">
        <v>319327</v>
      </c>
      <c r="G87" s="1546">
        <v>268327</v>
      </c>
      <c r="H87" s="1643">
        <v>0</v>
      </c>
      <c r="I87" s="1545">
        <f>+J87+K87+L87+M87</f>
        <v>732845</v>
      </c>
      <c r="J87" s="1546">
        <v>217807</v>
      </c>
      <c r="K87" s="1546">
        <v>246711</v>
      </c>
      <c r="L87" s="1546">
        <v>268327</v>
      </c>
      <c r="M87" s="1643">
        <v>0</v>
      </c>
      <c r="N87" s="1545">
        <f t="shared" si="51"/>
        <v>511417</v>
      </c>
      <c r="O87" s="2013">
        <f t="shared" si="48"/>
        <v>63.493701122711087</v>
      </c>
      <c r="P87" s="1546">
        <v>46899</v>
      </c>
      <c r="Q87" s="2013">
        <f t="shared" si="50"/>
        <v>17.478300730079344</v>
      </c>
      <c r="R87" s="1546">
        <f t="shared" si="41"/>
        <v>-20182.75</v>
      </c>
      <c r="S87" s="3093"/>
      <c r="T87" s="537"/>
    </row>
    <row r="88" spans="1:20" s="493" customFormat="1" ht="12.75" customHeight="1" x14ac:dyDescent="0.2">
      <c r="A88" s="2811"/>
      <c r="B88" s="565" t="s">
        <v>17</v>
      </c>
      <c r="C88" s="1982"/>
      <c r="D88" s="1697">
        <f>D89+D91</f>
        <v>948355</v>
      </c>
      <c r="E88" s="1479">
        <f>+E91+E89</f>
        <v>189904</v>
      </c>
      <c r="F88" s="1479">
        <f>+F91+F89</f>
        <v>375679</v>
      </c>
      <c r="G88" s="1479">
        <f>+G91+G89</f>
        <v>315679</v>
      </c>
      <c r="H88" s="1698">
        <f>+H91+H89</f>
        <v>67093</v>
      </c>
      <c r="I88" s="1697">
        <f>I89+I91</f>
        <v>916893</v>
      </c>
      <c r="J88" s="1479">
        <f>+J91+J89</f>
        <v>189904</v>
      </c>
      <c r="K88" s="1479">
        <f>+K91+K89</f>
        <v>344217</v>
      </c>
      <c r="L88" s="1479">
        <f>+L91+L89</f>
        <v>315679</v>
      </c>
      <c r="M88" s="1698">
        <f>+M91+M89</f>
        <v>67093</v>
      </c>
      <c r="N88" s="1697">
        <f t="shared" si="51"/>
        <v>534121</v>
      </c>
      <c r="O88" s="1699">
        <f t="shared" si="48"/>
        <v>56.320787047044618</v>
      </c>
      <c r="P88" s="1479">
        <f>+P91+P89</f>
        <v>0</v>
      </c>
      <c r="Q88" s="1699">
        <f t="shared" si="50"/>
        <v>0</v>
      </c>
      <c r="R88" s="1479">
        <f t="shared" si="41"/>
        <v>-78919.75</v>
      </c>
      <c r="S88" s="3093"/>
      <c r="T88" s="537"/>
    </row>
    <row r="89" spans="1:20" s="493" customFormat="1" ht="12.75" customHeight="1" x14ac:dyDescent="0.2">
      <c r="A89" s="2811"/>
      <c r="B89" s="925" t="s">
        <v>18</v>
      </c>
      <c r="C89" s="2950" t="s">
        <v>177</v>
      </c>
      <c r="D89" s="1996">
        <f>D90</f>
        <v>142894</v>
      </c>
      <c r="E89" s="1998">
        <f>+E90</f>
        <v>28610</v>
      </c>
      <c r="F89" s="1998">
        <f>+F90</f>
        <v>56352</v>
      </c>
      <c r="G89" s="1998">
        <f>+G90</f>
        <v>47352</v>
      </c>
      <c r="H89" s="2014">
        <f>+H90</f>
        <v>10580</v>
      </c>
      <c r="I89" s="1996">
        <f>I90</f>
        <v>139246</v>
      </c>
      <c r="J89" s="1998">
        <f>+J90</f>
        <v>28610</v>
      </c>
      <c r="K89" s="1998">
        <f>+K90</f>
        <v>52704</v>
      </c>
      <c r="L89" s="1998">
        <f>+L90</f>
        <v>47352</v>
      </c>
      <c r="M89" s="2014">
        <f>+M90</f>
        <v>10580</v>
      </c>
      <c r="N89" s="1996">
        <f t="shared" si="51"/>
        <v>81314</v>
      </c>
      <c r="O89" s="1997">
        <f t="shared" si="48"/>
        <v>56.905118479432304</v>
      </c>
      <c r="P89" s="1998">
        <f>+P90</f>
        <v>0</v>
      </c>
      <c r="Q89" s="1997">
        <f t="shared" si="50"/>
        <v>0</v>
      </c>
      <c r="R89" s="1998">
        <f t="shared" si="41"/>
        <v>-11838</v>
      </c>
      <c r="S89" s="3093"/>
      <c r="T89" s="537"/>
    </row>
    <row r="90" spans="1:20" s="493" customFormat="1" ht="12.75" customHeight="1" x14ac:dyDescent="0.2">
      <c r="A90" s="2811"/>
      <c r="B90" s="855" t="s">
        <v>8</v>
      </c>
      <c r="C90" s="2950"/>
      <c r="D90" s="1545">
        <f>+E90+F90+G90+H90</f>
        <v>142894</v>
      </c>
      <c r="E90" s="1053">
        <v>28610</v>
      </c>
      <c r="F90" s="1053">
        <v>56352</v>
      </c>
      <c r="G90" s="1053">
        <v>47352</v>
      </c>
      <c r="H90" s="2010">
        <v>10580</v>
      </c>
      <c r="I90" s="1545">
        <f>+J90+K90+L90+M90</f>
        <v>139246</v>
      </c>
      <c r="J90" s="1053">
        <v>28610</v>
      </c>
      <c r="K90" s="1053">
        <v>52704</v>
      </c>
      <c r="L90" s="1053">
        <v>47352</v>
      </c>
      <c r="M90" s="2010">
        <v>10580</v>
      </c>
      <c r="N90" s="1205">
        <f t="shared" si="51"/>
        <v>81314</v>
      </c>
      <c r="O90" s="1978">
        <f t="shared" si="48"/>
        <v>56.905118479432304</v>
      </c>
      <c r="P90" s="1053">
        <v>0</v>
      </c>
      <c r="Q90" s="1978">
        <f t="shared" si="50"/>
        <v>0</v>
      </c>
      <c r="R90" s="1053">
        <f t="shared" si="41"/>
        <v>-11838</v>
      </c>
      <c r="S90" s="3093"/>
      <c r="T90" s="537"/>
    </row>
    <row r="91" spans="1:20" s="493" customFormat="1" ht="12.75" customHeight="1" x14ac:dyDescent="0.2">
      <c r="A91" s="2811"/>
      <c r="B91" s="703" t="s">
        <v>13</v>
      </c>
      <c r="C91" s="2950"/>
      <c r="D91" s="1557">
        <f t="shared" ref="D91:M91" si="53">+D92</f>
        <v>805461</v>
      </c>
      <c r="E91" s="1558">
        <f t="shared" si="53"/>
        <v>161294</v>
      </c>
      <c r="F91" s="1558">
        <f t="shared" si="53"/>
        <v>319327</v>
      </c>
      <c r="G91" s="1558">
        <f t="shared" si="53"/>
        <v>268327</v>
      </c>
      <c r="H91" s="2015">
        <f t="shared" si="53"/>
        <v>56513</v>
      </c>
      <c r="I91" s="1557">
        <f t="shared" si="53"/>
        <v>777647</v>
      </c>
      <c r="J91" s="1558">
        <f t="shared" si="53"/>
        <v>161294</v>
      </c>
      <c r="K91" s="1558">
        <f t="shared" si="53"/>
        <v>291513</v>
      </c>
      <c r="L91" s="1558">
        <f t="shared" si="53"/>
        <v>268327</v>
      </c>
      <c r="M91" s="2015">
        <f t="shared" si="53"/>
        <v>56513</v>
      </c>
      <c r="N91" s="1557">
        <f t="shared" si="51"/>
        <v>452807</v>
      </c>
      <c r="O91" s="2011">
        <f t="shared" si="48"/>
        <v>56.217122865042498</v>
      </c>
      <c r="P91" s="1558">
        <f>+P92</f>
        <v>0</v>
      </c>
      <c r="Q91" s="2011">
        <f t="shared" si="50"/>
        <v>0</v>
      </c>
      <c r="R91" s="1558">
        <f t="shared" si="41"/>
        <v>-67081.75</v>
      </c>
      <c r="S91" s="3093"/>
      <c r="T91" s="537"/>
    </row>
    <row r="92" spans="1:20" s="493" customFormat="1" ht="12.75" customHeight="1" thickBot="1" x14ac:dyDescent="0.25">
      <c r="A92" s="2812"/>
      <c r="B92" s="717" t="s">
        <v>15</v>
      </c>
      <c r="C92" s="2967"/>
      <c r="D92" s="1623">
        <f>+E92+F92+G92+H92</f>
        <v>805461</v>
      </c>
      <c r="E92" s="1574">
        <v>161294</v>
      </c>
      <c r="F92" s="1574">
        <v>319327</v>
      </c>
      <c r="G92" s="1574">
        <v>268327</v>
      </c>
      <c r="H92" s="1681">
        <v>56513</v>
      </c>
      <c r="I92" s="1623">
        <f>+J92+K92+L92+M92</f>
        <v>777647</v>
      </c>
      <c r="J92" s="1574">
        <v>161294</v>
      </c>
      <c r="K92" s="1574">
        <v>291513</v>
      </c>
      <c r="L92" s="1574">
        <v>268327</v>
      </c>
      <c r="M92" s="1681">
        <v>56513</v>
      </c>
      <c r="N92" s="1623">
        <f t="shared" si="51"/>
        <v>452807</v>
      </c>
      <c r="O92" s="1710">
        <f t="shared" si="48"/>
        <v>56.217122865042498</v>
      </c>
      <c r="P92" s="1574">
        <v>0</v>
      </c>
      <c r="Q92" s="1710">
        <f t="shared" si="50"/>
        <v>0</v>
      </c>
      <c r="R92" s="1574">
        <f t="shared" si="41"/>
        <v>-67081.75</v>
      </c>
      <c r="S92" s="3094"/>
      <c r="T92" s="537"/>
    </row>
    <row r="93" spans="1:20" s="493" customFormat="1" ht="36.75" customHeight="1" x14ac:dyDescent="0.2">
      <c r="A93" s="3096" t="s">
        <v>54</v>
      </c>
      <c r="B93" s="1972" t="s">
        <v>185</v>
      </c>
      <c r="C93" s="1687" t="s">
        <v>225</v>
      </c>
      <c r="D93" s="1688"/>
      <c r="E93" s="4"/>
      <c r="F93" s="4"/>
      <c r="G93" s="4"/>
      <c r="H93" s="1690"/>
      <c r="I93" s="1688"/>
      <c r="J93" s="4"/>
      <c r="K93" s="4"/>
      <c r="L93" s="4"/>
      <c r="M93" s="1690"/>
      <c r="N93" s="1688"/>
      <c r="O93" s="1973"/>
      <c r="P93" s="4"/>
      <c r="Q93" s="1973"/>
      <c r="R93" s="4">
        <f t="shared" ref="R93:R103" si="54">+P93-L93*0.25</f>
        <v>0</v>
      </c>
      <c r="S93" s="3102" t="s">
        <v>186</v>
      </c>
      <c r="T93" s="537"/>
    </row>
    <row r="94" spans="1:20" s="493" customFormat="1" ht="12.75" customHeight="1" x14ac:dyDescent="0.2">
      <c r="A94" s="3097"/>
      <c r="B94" s="565" t="s">
        <v>3</v>
      </c>
      <c r="C94" s="1694"/>
      <c r="D94" s="1697">
        <f t="shared" ref="D94:H94" si="55">+D95+D97</f>
        <v>23000000</v>
      </c>
      <c r="E94" s="1479">
        <f t="shared" si="55"/>
        <v>36900</v>
      </c>
      <c r="F94" s="1479">
        <f t="shared" si="55"/>
        <v>5484300</v>
      </c>
      <c r="G94" s="1479">
        <f t="shared" si="55"/>
        <v>17478800</v>
      </c>
      <c r="H94" s="1479">
        <f t="shared" si="55"/>
        <v>0</v>
      </c>
      <c r="I94" s="1697">
        <f t="shared" ref="I94:N94" si="56">+I95+I97</f>
        <v>22955683</v>
      </c>
      <c r="J94" s="1479">
        <f t="shared" si="56"/>
        <v>36900</v>
      </c>
      <c r="K94" s="1479">
        <f t="shared" si="56"/>
        <v>5439983</v>
      </c>
      <c r="L94" s="1479">
        <f t="shared" si="56"/>
        <v>17478800</v>
      </c>
      <c r="M94" s="1479">
        <f t="shared" si="56"/>
        <v>0</v>
      </c>
      <c r="N94" s="1697">
        <f t="shared" si="56"/>
        <v>5507106</v>
      </c>
      <c r="O94" s="1699">
        <f t="shared" si="48"/>
        <v>23.943939130434782</v>
      </c>
      <c r="P94" s="1479">
        <f>+P95+P97</f>
        <v>30223</v>
      </c>
      <c r="Q94" s="1699">
        <f t="shared" si="50"/>
        <v>0.17291232807744239</v>
      </c>
      <c r="R94" s="1479">
        <f t="shared" si="54"/>
        <v>-4339477</v>
      </c>
      <c r="S94" s="3103"/>
      <c r="T94" s="537"/>
    </row>
    <row r="95" spans="1:20" s="493" customFormat="1" ht="12.75" customHeight="1" x14ac:dyDescent="0.2">
      <c r="A95" s="3097"/>
      <c r="B95" s="925" t="s">
        <v>18</v>
      </c>
      <c r="C95" s="3027" t="s">
        <v>187</v>
      </c>
      <c r="D95" s="1702">
        <f t="shared" ref="D95:N95" si="57">+D96</f>
        <v>5750000</v>
      </c>
      <c r="E95" s="1703">
        <f t="shared" si="57"/>
        <v>9225</v>
      </c>
      <c r="F95" s="1703">
        <f t="shared" si="57"/>
        <v>1371075</v>
      </c>
      <c r="G95" s="1703">
        <f t="shared" si="57"/>
        <v>4369700</v>
      </c>
      <c r="H95" s="1703">
        <f t="shared" si="57"/>
        <v>0</v>
      </c>
      <c r="I95" s="1702">
        <f t="shared" si="57"/>
        <v>5722545</v>
      </c>
      <c r="J95" s="1703">
        <f t="shared" si="57"/>
        <v>9225</v>
      </c>
      <c r="K95" s="1703">
        <f t="shared" si="57"/>
        <v>1343620</v>
      </c>
      <c r="L95" s="1703">
        <f t="shared" si="57"/>
        <v>4369700</v>
      </c>
      <c r="M95" s="1703">
        <f t="shared" si="57"/>
        <v>0</v>
      </c>
      <c r="N95" s="1702">
        <f t="shared" si="57"/>
        <v>1360401</v>
      </c>
      <c r="O95" s="1704">
        <f t="shared" si="48"/>
        <v>23.659147826086958</v>
      </c>
      <c r="P95" s="1703">
        <f>+P96</f>
        <v>7556</v>
      </c>
      <c r="Q95" s="1704">
        <f t="shared" si="50"/>
        <v>0.17291804929400187</v>
      </c>
      <c r="R95" s="1703">
        <f t="shared" si="54"/>
        <v>-1084869</v>
      </c>
      <c r="S95" s="3103"/>
      <c r="T95" s="537"/>
    </row>
    <row r="96" spans="1:20" s="493" customFormat="1" ht="12.75" customHeight="1" x14ac:dyDescent="0.2">
      <c r="A96" s="3097"/>
      <c r="B96" s="1976" t="s">
        <v>5</v>
      </c>
      <c r="C96" s="2950"/>
      <c r="D96" s="1545">
        <f>+E96+F96+G96+H96</f>
        <v>5750000</v>
      </c>
      <c r="E96" s="1546">
        <v>9225</v>
      </c>
      <c r="F96" s="1546">
        <v>1371075</v>
      </c>
      <c r="G96" s="2016">
        <v>4369700</v>
      </c>
      <c r="H96" s="2016"/>
      <c r="I96" s="1545">
        <f>+J96+K96+L96+M96</f>
        <v>5722545</v>
      </c>
      <c r="J96" s="1546">
        <v>9225</v>
      </c>
      <c r="K96" s="1546">
        <v>1343620</v>
      </c>
      <c r="L96" s="2016">
        <v>4369700</v>
      </c>
      <c r="M96" s="2016"/>
      <c r="N96" s="1205">
        <f>+J96+K96+P96</f>
        <v>1360401</v>
      </c>
      <c r="O96" s="2013">
        <f t="shared" si="48"/>
        <v>23.659147826086958</v>
      </c>
      <c r="P96" s="1546">
        <v>7556</v>
      </c>
      <c r="Q96" s="2013">
        <f t="shared" si="50"/>
        <v>0.17291804929400187</v>
      </c>
      <c r="R96" s="1546">
        <f t="shared" si="54"/>
        <v>-1084869</v>
      </c>
      <c r="S96" s="3103"/>
      <c r="T96" s="537"/>
    </row>
    <row r="97" spans="1:71" s="493" customFormat="1" ht="12.75" customHeight="1" x14ac:dyDescent="0.2">
      <c r="A97" s="3097"/>
      <c r="B97" s="703" t="s">
        <v>13</v>
      </c>
      <c r="C97" s="2950"/>
      <c r="D97" s="1557">
        <f t="shared" ref="D97:N97" si="58">+D98</f>
        <v>17250000</v>
      </c>
      <c r="E97" s="1558">
        <f t="shared" si="58"/>
        <v>27675</v>
      </c>
      <c r="F97" s="1558">
        <f t="shared" si="58"/>
        <v>4113225</v>
      </c>
      <c r="G97" s="1558">
        <f t="shared" si="58"/>
        <v>13109100</v>
      </c>
      <c r="H97" s="1558">
        <f t="shared" si="58"/>
        <v>0</v>
      </c>
      <c r="I97" s="1557">
        <f t="shared" si="58"/>
        <v>17233138</v>
      </c>
      <c r="J97" s="1558">
        <f t="shared" si="58"/>
        <v>27675</v>
      </c>
      <c r="K97" s="1558">
        <f t="shared" si="58"/>
        <v>4096363</v>
      </c>
      <c r="L97" s="1558">
        <f t="shared" si="58"/>
        <v>13109100</v>
      </c>
      <c r="M97" s="1558">
        <f t="shared" si="58"/>
        <v>0</v>
      </c>
      <c r="N97" s="1557">
        <f t="shared" si="58"/>
        <v>4146705</v>
      </c>
      <c r="O97" s="2011">
        <f t="shared" si="48"/>
        <v>24.038869565217389</v>
      </c>
      <c r="P97" s="1558">
        <f>+P98</f>
        <v>22667</v>
      </c>
      <c r="Q97" s="2011">
        <f t="shared" si="50"/>
        <v>0.17291042100525589</v>
      </c>
      <c r="R97" s="1558">
        <f t="shared" si="54"/>
        <v>-3254608</v>
      </c>
      <c r="S97" s="3103"/>
      <c r="T97" s="537"/>
    </row>
    <row r="98" spans="1:71" s="493" customFormat="1" ht="12.75" customHeight="1" x14ac:dyDescent="0.2">
      <c r="A98" s="3097"/>
      <c r="B98" s="1980" t="s">
        <v>15</v>
      </c>
      <c r="C98" s="2950"/>
      <c r="D98" s="1545">
        <f>+E98+F98+G98+H98</f>
        <v>17250000</v>
      </c>
      <c r="E98" s="1053">
        <v>27675</v>
      </c>
      <c r="F98" s="1053">
        <v>4113225</v>
      </c>
      <c r="G98" s="1204">
        <v>13109100</v>
      </c>
      <c r="H98" s="1204"/>
      <c r="I98" s="1545">
        <f>+J98+K98+L98+M98</f>
        <v>17233138</v>
      </c>
      <c r="J98" s="1053">
        <v>27675</v>
      </c>
      <c r="K98" s="1053">
        <v>4096363</v>
      </c>
      <c r="L98" s="1204">
        <v>13109100</v>
      </c>
      <c r="M98" s="1204"/>
      <c r="N98" s="1205">
        <f>+J98+K98+P98</f>
        <v>4146705</v>
      </c>
      <c r="O98" s="1978">
        <f t="shared" si="48"/>
        <v>24.038869565217389</v>
      </c>
      <c r="P98" s="1053">
        <v>22667</v>
      </c>
      <c r="Q98" s="1978">
        <f t="shared" si="50"/>
        <v>0.17291042100525589</v>
      </c>
      <c r="R98" s="1053">
        <f t="shared" si="54"/>
        <v>-3254608</v>
      </c>
      <c r="S98" s="3103"/>
      <c r="T98" s="537"/>
    </row>
    <row r="99" spans="1:71" s="493" customFormat="1" ht="12.75" customHeight="1" x14ac:dyDescent="0.2">
      <c r="A99" s="2811"/>
      <c r="B99" s="565" t="s">
        <v>17</v>
      </c>
      <c r="C99" s="1982"/>
      <c r="D99" s="1798">
        <f t="shared" ref="D99:N99" si="59">+D100</f>
        <v>17250000</v>
      </c>
      <c r="E99" s="1474">
        <f t="shared" si="59"/>
        <v>0</v>
      </c>
      <c r="F99" s="1474">
        <f t="shared" si="59"/>
        <v>4114813</v>
      </c>
      <c r="G99" s="1474">
        <f t="shared" si="59"/>
        <v>13135187</v>
      </c>
      <c r="H99" s="1476">
        <f t="shared" si="59"/>
        <v>0</v>
      </c>
      <c r="I99" s="1798">
        <f t="shared" si="59"/>
        <v>17250000</v>
      </c>
      <c r="J99" s="1474">
        <f t="shared" si="59"/>
        <v>0</v>
      </c>
      <c r="K99" s="1474">
        <f t="shared" si="59"/>
        <v>4114813</v>
      </c>
      <c r="L99" s="1474">
        <f t="shared" si="59"/>
        <v>13135187</v>
      </c>
      <c r="M99" s="1476">
        <f t="shared" si="59"/>
        <v>0</v>
      </c>
      <c r="N99" s="1697">
        <f t="shared" si="59"/>
        <v>4145297</v>
      </c>
      <c r="O99" s="1970">
        <f t="shared" si="48"/>
        <v>24.03070724637681</v>
      </c>
      <c r="P99" s="1479">
        <f>+P100</f>
        <v>30484</v>
      </c>
      <c r="Q99" s="1970">
        <f t="shared" si="50"/>
        <v>0.23207891901348646</v>
      </c>
      <c r="R99" s="1479">
        <f t="shared" si="54"/>
        <v>-3253312.75</v>
      </c>
      <c r="S99" s="3103"/>
      <c r="T99" s="537"/>
    </row>
    <row r="100" spans="1:71" s="493" customFormat="1" ht="12.75" customHeight="1" x14ac:dyDescent="0.2">
      <c r="A100" s="2811"/>
      <c r="B100" s="703" t="s">
        <v>13</v>
      </c>
      <c r="C100" s="2950"/>
      <c r="D100" s="1557">
        <f>+D101</f>
        <v>17250000</v>
      </c>
      <c r="E100" s="1558">
        <f>+E101</f>
        <v>0</v>
      </c>
      <c r="F100" s="1558">
        <f>+F101</f>
        <v>4114813</v>
      </c>
      <c r="G100" s="2017">
        <f>G101</f>
        <v>13135187</v>
      </c>
      <c r="H100" s="2017">
        <f>H101</f>
        <v>0</v>
      </c>
      <c r="I100" s="1557">
        <f>+I101</f>
        <v>17250000</v>
      </c>
      <c r="J100" s="1558">
        <f>+J101</f>
        <v>0</v>
      </c>
      <c r="K100" s="1558">
        <f>+K101</f>
        <v>4114813</v>
      </c>
      <c r="L100" s="2017">
        <f>L101</f>
        <v>13135187</v>
      </c>
      <c r="M100" s="2017">
        <f>M101</f>
        <v>0</v>
      </c>
      <c r="N100" s="1557">
        <f>+N101</f>
        <v>4145297</v>
      </c>
      <c r="O100" s="2011">
        <f t="shared" si="48"/>
        <v>24.03070724637681</v>
      </c>
      <c r="P100" s="1558">
        <f>+P101</f>
        <v>30484</v>
      </c>
      <c r="Q100" s="2011">
        <f t="shared" si="50"/>
        <v>0.23207891901348646</v>
      </c>
      <c r="R100" s="1558">
        <f t="shared" si="54"/>
        <v>-3253312.75</v>
      </c>
      <c r="S100" s="3103"/>
      <c r="T100" s="537"/>
    </row>
    <row r="101" spans="1:71" s="493" customFormat="1" ht="12.75" customHeight="1" thickBot="1" x14ac:dyDescent="0.25">
      <c r="A101" s="2812"/>
      <c r="B101" s="1983" t="s">
        <v>15</v>
      </c>
      <c r="C101" s="2967"/>
      <c r="D101" s="1623">
        <f>+E101+F101+G101+H101</f>
        <v>17250000</v>
      </c>
      <c r="E101" s="1255">
        <v>0</v>
      </c>
      <c r="F101" s="1255">
        <v>4114813</v>
      </c>
      <c r="G101" s="2018">
        <v>13135187</v>
      </c>
      <c r="H101" s="2018"/>
      <c r="I101" s="1623">
        <f>+J101+K101+L101+M101</f>
        <v>17250000</v>
      </c>
      <c r="J101" s="1255">
        <v>0</v>
      </c>
      <c r="K101" s="1255">
        <v>4114813</v>
      </c>
      <c r="L101" s="2018">
        <v>13135187</v>
      </c>
      <c r="M101" s="2018"/>
      <c r="N101" s="2003">
        <f>+J101+K101+P101</f>
        <v>4145297</v>
      </c>
      <c r="O101" s="2004">
        <f t="shared" si="48"/>
        <v>24.03070724637681</v>
      </c>
      <c r="P101" s="1255">
        <v>30484</v>
      </c>
      <c r="Q101" s="2004">
        <f t="shared" si="50"/>
        <v>0.23207891901348646</v>
      </c>
      <c r="R101" s="1255">
        <f t="shared" si="54"/>
        <v>-3253312.75</v>
      </c>
      <c r="S101" s="3104"/>
      <c r="T101" s="537"/>
    </row>
    <row r="102" spans="1:71" s="1951" customFormat="1" ht="27" customHeight="1" thickBot="1" x14ac:dyDescent="0.25">
      <c r="A102" s="2081" t="s">
        <v>393</v>
      </c>
      <c r="B102" s="2019"/>
      <c r="C102" s="2020"/>
      <c r="D102" s="2019"/>
      <c r="E102" s="2021"/>
      <c r="F102" s="2019"/>
      <c r="G102" s="2019"/>
      <c r="H102" s="2019"/>
      <c r="I102" s="2019"/>
      <c r="J102" s="2019"/>
      <c r="K102" s="2019"/>
      <c r="L102" s="2019"/>
      <c r="M102" s="2019"/>
      <c r="N102" s="2019"/>
      <c r="O102" s="2022"/>
      <c r="P102" s="2019"/>
      <c r="Q102" s="2022"/>
      <c r="R102" s="2019"/>
      <c r="S102" s="2023"/>
      <c r="T102" s="537"/>
    </row>
    <row r="103" spans="1:71" s="271" customFormat="1" ht="18" customHeight="1" thickBot="1" x14ac:dyDescent="0.25">
      <c r="A103" s="1958"/>
      <c r="B103" s="264" t="s">
        <v>220</v>
      </c>
      <c r="C103" s="509"/>
      <c r="D103" s="35">
        <f t="shared" ref="D103:H103" si="60">D104+D105</f>
        <v>52102500</v>
      </c>
      <c r="E103" s="34">
        <f t="shared" si="60"/>
        <v>5420642</v>
      </c>
      <c r="F103" s="34">
        <f t="shared" si="60"/>
        <v>10892869</v>
      </c>
      <c r="G103" s="34">
        <f t="shared" si="60"/>
        <v>8503756</v>
      </c>
      <c r="H103" s="34">
        <f t="shared" si="60"/>
        <v>27285233</v>
      </c>
      <c r="I103" s="35">
        <f t="shared" ref="I103:N103" si="61">I104+I105</f>
        <v>51242127</v>
      </c>
      <c r="J103" s="34">
        <f t="shared" si="61"/>
        <v>5420642</v>
      </c>
      <c r="K103" s="34">
        <f t="shared" si="61"/>
        <v>10032496</v>
      </c>
      <c r="L103" s="34">
        <f t="shared" si="61"/>
        <v>8503756</v>
      </c>
      <c r="M103" s="34">
        <f t="shared" si="61"/>
        <v>27285233</v>
      </c>
      <c r="N103" s="35">
        <f t="shared" si="61"/>
        <v>17113451</v>
      </c>
      <c r="O103" s="39">
        <f t="shared" si="48"/>
        <v>32.845738688162754</v>
      </c>
      <c r="P103" s="34">
        <f>P104+P105</f>
        <v>1660313</v>
      </c>
      <c r="Q103" s="156">
        <f t="shared" si="50"/>
        <v>19.524466600405749</v>
      </c>
      <c r="R103" s="36">
        <f t="shared" si="54"/>
        <v>-465626</v>
      </c>
      <c r="S103" s="269"/>
      <c r="T103" s="537"/>
      <c r="U103" s="239"/>
      <c r="V103" s="239"/>
      <c r="W103" s="239"/>
      <c r="X103" s="239"/>
      <c r="Y103" s="239"/>
      <c r="Z103" s="239"/>
      <c r="AA103" s="239"/>
      <c r="AB103" s="239"/>
      <c r="AC103" s="239"/>
      <c r="AD103" s="239"/>
      <c r="AE103" s="239"/>
      <c r="AF103" s="239"/>
      <c r="AG103" s="239"/>
      <c r="AH103" s="239"/>
      <c r="AI103" s="239"/>
      <c r="AJ103" s="239"/>
      <c r="AK103" s="239"/>
      <c r="AL103" s="239"/>
      <c r="AM103" s="239"/>
      <c r="AN103" s="239"/>
      <c r="AO103" s="239"/>
      <c r="AP103" s="239"/>
      <c r="AQ103" s="239"/>
      <c r="AR103" s="239"/>
      <c r="AS103" s="239"/>
      <c r="AT103" s="239"/>
      <c r="AU103" s="239"/>
      <c r="AV103" s="239"/>
      <c r="AW103" s="239"/>
      <c r="AX103" s="239"/>
      <c r="AY103" s="239"/>
      <c r="AZ103" s="239"/>
      <c r="BA103" s="239"/>
      <c r="BB103" s="239"/>
      <c r="BC103" s="239"/>
      <c r="BD103" s="239"/>
      <c r="BE103" s="239"/>
      <c r="BF103" s="239"/>
      <c r="BG103" s="239"/>
      <c r="BH103" s="239"/>
      <c r="BI103" s="239"/>
      <c r="BJ103" s="239"/>
      <c r="BK103" s="239"/>
      <c r="BL103" s="239"/>
      <c r="BM103" s="239"/>
      <c r="BN103" s="239"/>
      <c r="BO103" s="239"/>
      <c r="BP103" s="239"/>
      <c r="BQ103" s="239"/>
      <c r="BR103" s="239"/>
      <c r="BS103" s="239"/>
    </row>
    <row r="104" spans="1:71" s="271" customFormat="1" ht="14.25" customHeight="1" thickTop="1" thickBot="1" x14ac:dyDescent="0.25">
      <c r="A104" s="1959"/>
      <c r="B104" s="273" t="s">
        <v>221</v>
      </c>
      <c r="C104" s="1960"/>
      <c r="D104" s="1961">
        <f t="shared" ref="D104:H104" si="62">D130+D134+D138+D142+D146+D150+D154+D158+D162+D166+D170</f>
        <v>43908369</v>
      </c>
      <c r="E104" s="1962">
        <f t="shared" si="62"/>
        <v>1125478</v>
      </c>
      <c r="F104" s="1962">
        <f t="shared" si="62"/>
        <v>7028902</v>
      </c>
      <c r="G104" s="1962">
        <f t="shared" si="62"/>
        <v>8468756</v>
      </c>
      <c r="H104" s="2024">
        <f t="shared" si="62"/>
        <v>27285233</v>
      </c>
      <c r="I104" s="1961">
        <f t="shared" ref="I104:N104" si="63">I130+I134+I138+I142+I146+I150+I154+I158+I162+I166+I170</f>
        <v>43061798</v>
      </c>
      <c r="J104" s="1962">
        <f t="shared" si="63"/>
        <v>1125478</v>
      </c>
      <c r="K104" s="1962">
        <f t="shared" si="63"/>
        <v>6182331</v>
      </c>
      <c r="L104" s="1962">
        <f t="shared" si="63"/>
        <v>8468756</v>
      </c>
      <c r="M104" s="2024">
        <f t="shared" si="63"/>
        <v>27285233</v>
      </c>
      <c r="N104" s="1961">
        <f t="shared" si="63"/>
        <v>8968122</v>
      </c>
      <c r="O104" s="48">
        <f t="shared" si="48"/>
        <v>20.424630211156327</v>
      </c>
      <c r="P104" s="1962">
        <f>P130+P134+P138+P142+P146+P150+P154+P158+P162+P166+P170</f>
        <v>1660313</v>
      </c>
      <c r="Q104" s="157">
        <f t="shared" si="50"/>
        <v>19.605158065718271</v>
      </c>
      <c r="R104" s="528">
        <f>+P104-L104*0.25</f>
        <v>-456876</v>
      </c>
      <c r="S104" s="269"/>
      <c r="T104" s="537"/>
      <c r="U104" s="239"/>
      <c r="V104" s="239"/>
      <c r="W104" s="239"/>
      <c r="X104" s="239"/>
      <c r="Y104" s="239"/>
      <c r="Z104" s="239"/>
      <c r="AA104" s="239"/>
      <c r="AB104" s="239"/>
      <c r="AC104" s="239"/>
      <c r="AD104" s="239"/>
      <c r="AE104" s="239"/>
      <c r="AF104" s="239"/>
      <c r="AG104" s="239"/>
      <c r="AH104" s="239"/>
      <c r="AI104" s="239"/>
      <c r="AJ104" s="239"/>
      <c r="AK104" s="239"/>
      <c r="AL104" s="239"/>
      <c r="AM104" s="239"/>
      <c r="AN104" s="239"/>
      <c r="AO104" s="239"/>
      <c r="AP104" s="239"/>
      <c r="AQ104" s="239"/>
      <c r="AR104" s="239"/>
      <c r="AS104" s="239"/>
      <c r="AT104" s="239"/>
      <c r="AU104" s="239"/>
      <c r="AV104" s="239"/>
      <c r="AW104" s="239"/>
      <c r="AX104" s="239"/>
      <c r="AY104" s="239"/>
      <c r="AZ104" s="239"/>
      <c r="BA104" s="239"/>
      <c r="BB104" s="239"/>
      <c r="BC104" s="239"/>
      <c r="BD104" s="239"/>
      <c r="BE104" s="239"/>
      <c r="BF104" s="239"/>
      <c r="BG104" s="239"/>
      <c r="BH104" s="239"/>
      <c r="BI104" s="239"/>
      <c r="BJ104" s="239"/>
      <c r="BK104" s="239"/>
      <c r="BL104" s="239"/>
      <c r="BM104" s="239"/>
      <c r="BN104" s="239"/>
      <c r="BO104" s="239"/>
      <c r="BP104" s="239"/>
      <c r="BQ104" s="239"/>
      <c r="BR104" s="239"/>
      <c r="BS104" s="239"/>
    </row>
    <row r="105" spans="1:71" s="271" customFormat="1" ht="14.25" customHeight="1" thickTop="1" thickBot="1" x14ac:dyDescent="0.25">
      <c r="A105" s="1959"/>
      <c r="B105" s="523" t="s">
        <v>222</v>
      </c>
      <c r="C105" s="524"/>
      <c r="D105" s="1419">
        <f t="shared" ref="D105:H105" si="64">D110+D114+D118+D122+D126</f>
        <v>8194131</v>
      </c>
      <c r="E105" s="1420">
        <f t="shared" si="64"/>
        <v>4295164</v>
      </c>
      <c r="F105" s="1420">
        <f t="shared" si="64"/>
        <v>3863967</v>
      </c>
      <c r="G105" s="1420">
        <f t="shared" si="64"/>
        <v>35000</v>
      </c>
      <c r="H105" s="1421">
        <f t="shared" si="64"/>
        <v>0</v>
      </c>
      <c r="I105" s="1419">
        <f t="shared" ref="I105:N105" si="65">I110+I114+I118+I122+I126</f>
        <v>8180329</v>
      </c>
      <c r="J105" s="1420">
        <f t="shared" si="65"/>
        <v>4295164</v>
      </c>
      <c r="K105" s="1420">
        <f t="shared" si="65"/>
        <v>3850165</v>
      </c>
      <c r="L105" s="1420">
        <f t="shared" si="65"/>
        <v>35000</v>
      </c>
      <c r="M105" s="1421">
        <f t="shared" si="65"/>
        <v>0</v>
      </c>
      <c r="N105" s="1419">
        <f t="shared" si="65"/>
        <v>8145329</v>
      </c>
      <c r="O105" s="56">
        <f t="shared" si="48"/>
        <v>99.404427388334398</v>
      </c>
      <c r="P105" s="1420">
        <f>P110+P114+P118+P122+P126</f>
        <v>0</v>
      </c>
      <c r="Q105" s="162">
        <f t="shared" si="50"/>
        <v>0</v>
      </c>
      <c r="R105" s="528">
        <f>+P105-L105*0.25</f>
        <v>-8750</v>
      </c>
      <c r="S105" s="269"/>
      <c r="T105" s="537"/>
      <c r="U105" s="239"/>
      <c r="V105" s="239"/>
      <c r="W105" s="239"/>
      <c r="X105" s="239"/>
      <c r="Y105" s="239"/>
      <c r="Z105" s="239"/>
      <c r="AA105" s="239"/>
      <c r="AB105" s="239"/>
      <c r="AC105" s="239"/>
      <c r="AD105" s="239"/>
      <c r="AE105" s="239"/>
      <c r="AF105" s="239"/>
      <c r="AG105" s="239"/>
      <c r="AH105" s="239"/>
      <c r="AI105" s="239"/>
      <c r="AJ105" s="239"/>
      <c r="AK105" s="239"/>
      <c r="AL105" s="239"/>
      <c r="AM105" s="239"/>
      <c r="AN105" s="239"/>
      <c r="AO105" s="239"/>
      <c r="AP105" s="239"/>
      <c r="AQ105" s="239"/>
      <c r="AR105" s="239"/>
      <c r="AS105" s="239"/>
      <c r="AT105" s="239"/>
      <c r="AU105" s="239"/>
      <c r="AV105" s="239"/>
      <c r="AW105" s="239"/>
      <c r="AX105" s="239"/>
      <c r="AY105" s="239"/>
      <c r="AZ105" s="239"/>
      <c r="BA105" s="239"/>
      <c r="BB105" s="239"/>
      <c r="BC105" s="239"/>
      <c r="BD105" s="239"/>
      <c r="BE105" s="239"/>
      <c r="BF105" s="239"/>
      <c r="BG105" s="239"/>
      <c r="BH105" s="239"/>
      <c r="BI105" s="239"/>
      <c r="BJ105" s="239"/>
      <c r="BK105" s="239"/>
      <c r="BL105" s="239"/>
      <c r="BM105" s="239"/>
      <c r="BN105" s="239"/>
      <c r="BO105" s="239"/>
      <c r="BP105" s="239"/>
      <c r="BQ105" s="239"/>
      <c r="BR105" s="239"/>
      <c r="BS105" s="239"/>
    </row>
    <row r="106" spans="1:71" s="1748" customFormat="1" ht="13.5" customHeight="1" x14ac:dyDescent="0.2">
      <c r="A106" s="3151"/>
      <c r="B106" s="2025" t="s">
        <v>3</v>
      </c>
      <c r="C106" s="2026"/>
      <c r="D106" s="1774">
        <f>+D107</f>
        <v>52102500</v>
      </c>
      <c r="E106" s="1776">
        <f t="shared" ref="E106:H107" si="66">+E107</f>
        <v>5420642</v>
      </c>
      <c r="F106" s="1776">
        <f t="shared" si="66"/>
        <v>10892869</v>
      </c>
      <c r="G106" s="1778">
        <f t="shared" si="66"/>
        <v>8503756</v>
      </c>
      <c r="H106" s="1778">
        <f t="shared" si="66"/>
        <v>27285233</v>
      </c>
      <c r="I106" s="1774">
        <f>+I107</f>
        <v>51242127</v>
      </c>
      <c r="J106" s="1776">
        <f t="shared" ref="J106:P107" si="67">+J107</f>
        <v>5420642</v>
      </c>
      <c r="K106" s="1776">
        <f t="shared" si="67"/>
        <v>10032496</v>
      </c>
      <c r="L106" s="1778">
        <f t="shared" si="67"/>
        <v>8503756</v>
      </c>
      <c r="M106" s="1778">
        <f t="shared" si="67"/>
        <v>27285233</v>
      </c>
      <c r="N106" s="1965">
        <f t="shared" si="67"/>
        <v>17113451</v>
      </c>
      <c r="O106" s="2027">
        <f t="shared" si="48"/>
        <v>32.845738688162754</v>
      </c>
      <c r="P106" s="2028">
        <f t="shared" si="67"/>
        <v>1660313</v>
      </c>
      <c r="Q106" s="2027">
        <f t="shared" si="50"/>
        <v>19.524466600405749</v>
      </c>
      <c r="R106" s="1778">
        <f>+P106-L106*0.25</f>
        <v>-465626</v>
      </c>
      <c r="S106" s="3158"/>
      <c r="T106" s="537"/>
    </row>
    <row r="107" spans="1:71" s="2035" customFormat="1" ht="12" customHeight="1" x14ac:dyDescent="0.2">
      <c r="A107" s="3064"/>
      <c r="B107" s="1780" t="s">
        <v>4</v>
      </c>
      <c r="C107" s="3160"/>
      <c r="D107" s="2029">
        <f>+D108</f>
        <v>52102500</v>
      </c>
      <c r="E107" s="2030">
        <f t="shared" si="66"/>
        <v>5420642</v>
      </c>
      <c r="F107" s="2030">
        <f t="shared" si="66"/>
        <v>10892869</v>
      </c>
      <c r="G107" s="2031">
        <f t="shared" si="66"/>
        <v>8503756</v>
      </c>
      <c r="H107" s="2031">
        <f t="shared" si="66"/>
        <v>27285233</v>
      </c>
      <c r="I107" s="2029">
        <f>+I108</f>
        <v>51242127</v>
      </c>
      <c r="J107" s="2030">
        <f t="shared" si="67"/>
        <v>5420642</v>
      </c>
      <c r="K107" s="2030">
        <f t="shared" si="67"/>
        <v>10032496</v>
      </c>
      <c r="L107" s="2031">
        <f t="shared" si="67"/>
        <v>8503756</v>
      </c>
      <c r="M107" s="2031">
        <f t="shared" si="67"/>
        <v>27285233</v>
      </c>
      <c r="N107" s="2032">
        <f t="shared" si="67"/>
        <v>17113451</v>
      </c>
      <c r="O107" s="2033">
        <f t="shared" si="48"/>
        <v>32.845738688162754</v>
      </c>
      <c r="P107" s="1783">
        <f t="shared" si="67"/>
        <v>1660313</v>
      </c>
      <c r="Q107" s="2033">
        <f t="shared" si="50"/>
        <v>19.524466600405749</v>
      </c>
      <c r="R107" s="2031">
        <f>+P107-L107*0.25</f>
        <v>-465626</v>
      </c>
      <c r="S107" s="3159"/>
      <c r="T107" s="537"/>
      <c r="U107" s="2034"/>
      <c r="V107" s="2034"/>
      <c r="W107" s="2034"/>
      <c r="X107" s="2034"/>
      <c r="Y107" s="2034"/>
      <c r="Z107" s="2034"/>
      <c r="AA107" s="2034"/>
      <c r="AB107" s="2034"/>
      <c r="AC107" s="2034"/>
      <c r="AD107" s="2034"/>
      <c r="AE107" s="2034"/>
    </row>
    <row r="108" spans="1:71" s="1793" customFormat="1" ht="12.75" customHeight="1" thickBot="1" x14ac:dyDescent="0.25">
      <c r="A108" s="3064"/>
      <c r="B108" s="1787" t="s">
        <v>5</v>
      </c>
      <c r="C108" s="2964"/>
      <c r="D108" s="2036">
        <f t="shared" ref="D108:H108" si="68">D112+D116+D120+D124+D128+D132+D136+D140+D144+D148+D152+D156+D160+D164+D168+D172</f>
        <v>52102500</v>
      </c>
      <c r="E108" s="2037">
        <f t="shared" si="68"/>
        <v>5420642</v>
      </c>
      <c r="F108" s="2038">
        <f t="shared" si="68"/>
        <v>10892869</v>
      </c>
      <c r="G108" s="2039">
        <f t="shared" si="68"/>
        <v>8503756</v>
      </c>
      <c r="H108" s="2039">
        <f t="shared" si="68"/>
        <v>27285233</v>
      </c>
      <c r="I108" s="2036">
        <f t="shared" ref="I108:N108" si="69">I112+I116+I120+I124+I128+I132+I136+I140+I144+I148+I152+I156+I160+I164+I168+I172</f>
        <v>51242127</v>
      </c>
      <c r="J108" s="2037">
        <f t="shared" si="69"/>
        <v>5420642</v>
      </c>
      <c r="K108" s="2038">
        <f t="shared" si="69"/>
        <v>10032496</v>
      </c>
      <c r="L108" s="2039">
        <f t="shared" si="69"/>
        <v>8503756</v>
      </c>
      <c r="M108" s="2039">
        <f t="shared" si="69"/>
        <v>27285233</v>
      </c>
      <c r="N108" s="2036">
        <f t="shared" si="69"/>
        <v>17113451</v>
      </c>
      <c r="O108" s="2040">
        <f t="shared" si="48"/>
        <v>32.845738688162754</v>
      </c>
      <c r="P108" s="1790">
        <f>P112+P116+P120+P124+P128+P132+P136+P140+P144+P148+P152+P156+P160+P164+P168+P172</f>
        <v>1660313</v>
      </c>
      <c r="Q108" s="2040">
        <f t="shared" si="50"/>
        <v>19.524466600405749</v>
      </c>
      <c r="R108" s="2041">
        <f>+P108-L108*0.25</f>
        <v>-465626</v>
      </c>
      <c r="S108" s="3159"/>
      <c r="T108" s="537"/>
    </row>
    <row r="109" spans="1:71" s="1537" customFormat="1" ht="38.25" x14ac:dyDescent="0.2">
      <c r="A109" s="3096" t="s">
        <v>40</v>
      </c>
      <c r="B109" s="2042" t="s">
        <v>178</v>
      </c>
      <c r="C109" s="1687" t="s">
        <v>225</v>
      </c>
      <c r="D109" s="1688"/>
      <c r="E109" s="1690"/>
      <c r="F109" s="4"/>
      <c r="G109" s="4"/>
      <c r="H109" s="1690"/>
      <c r="I109" s="1688"/>
      <c r="J109" s="1690"/>
      <c r="K109" s="4"/>
      <c r="L109" s="4"/>
      <c r="M109" s="1690"/>
      <c r="N109" s="1688"/>
      <c r="O109" s="1973"/>
      <c r="P109" s="1988"/>
      <c r="Q109" s="1973"/>
      <c r="R109" s="4"/>
      <c r="S109" s="3102" t="s">
        <v>179</v>
      </c>
      <c r="T109" s="537"/>
    </row>
    <row r="110" spans="1:71" s="1537" customFormat="1" ht="13.5" customHeight="1" x14ac:dyDescent="0.2">
      <c r="A110" s="3097"/>
      <c r="B110" s="565" t="s">
        <v>3</v>
      </c>
      <c r="C110" s="1694"/>
      <c r="D110" s="1695">
        <f>+D111</f>
        <v>295200</v>
      </c>
      <c r="E110" s="1">
        <v>0</v>
      </c>
      <c r="F110" s="1">
        <f t="shared" ref="F110:H111" si="70">F111</f>
        <v>295200</v>
      </c>
      <c r="G110" s="1922">
        <f t="shared" si="70"/>
        <v>0</v>
      </c>
      <c r="H110" s="2043">
        <f t="shared" si="70"/>
        <v>0</v>
      </c>
      <c r="I110" s="1695">
        <f>+I111</f>
        <v>295200</v>
      </c>
      <c r="J110" s="1">
        <v>0</v>
      </c>
      <c r="K110" s="1">
        <f t="shared" ref="K110:M111" si="71">K111</f>
        <v>295200</v>
      </c>
      <c r="L110" s="1922">
        <f t="shared" si="71"/>
        <v>0</v>
      </c>
      <c r="M110" s="2043">
        <f t="shared" si="71"/>
        <v>0</v>
      </c>
      <c r="N110" s="1695">
        <f>+N111</f>
        <v>295200</v>
      </c>
      <c r="O110" s="1699">
        <f t="shared" si="48"/>
        <v>100</v>
      </c>
      <c r="P110" s="1713">
        <f>P111</f>
        <v>0</v>
      </c>
      <c r="Q110" s="1713">
        <v>0</v>
      </c>
      <c r="R110" s="1922">
        <f>+P110-L110*0.25</f>
        <v>0</v>
      </c>
      <c r="S110" s="2816"/>
      <c r="T110" s="537"/>
    </row>
    <row r="111" spans="1:71" s="1537" customFormat="1" ht="14.25" customHeight="1" x14ac:dyDescent="0.2">
      <c r="A111" s="3097"/>
      <c r="B111" s="925" t="s">
        <v>18</v>
      </c>
      <c r="C111" s="3108" t="s">
        <v>180</v>
      </c>
      <c r="D111" s="1610">
        <f>+D112</f>
        <v>295200</v>
      </c>
      <c r="E111" s="2">
        <v>0</v>
      </c>
      <c r="F111" s="2">
        <f t="shared" si="70"/>
        <v>295200</v>
      </c>
      <c r="G111" s="1612">
        <f t="shared" si="70"/>
        <v>0</v>
      </c>
      <c r="H111" s="2044">
        <f t="shared" si="70"/>
        <v>0</v>
      </c>
      <c r="I111" s="1610">
        <f>+I112</f>
        <v>295200</v>
      </c>
      <c r="J111" s="2">
        <v>0</v>
      </c>
      <c r="K111" s="2">
        <f t="shared" si="71"/>
        <v>295200</v>
      </c>
      <c r="L111" s="1612">
        <f t="shared" si="71"/>
        <v>0</v>
      </c>
      <c r="M111" s="2044">
        <f t="shared" si="71"/>
        <v>0</v>
      </c>
      <c r="N111" s="1610">
        <f>+N112</f>
        <v>295200</v>
      </c>
      <c r="O111" s="2011">
        <f t="shared" si="48"/>
        <v>100</v>
      </c>
      <c r="P111" s="1912">
        <f>P112</f>
        <v>0</v>
      </c>
      <c r="Q111" s="1912">
        <v>0</v>
      </c>
      <c r="R111" s="1612">
        <f>+P111-L111*0.25</f>
        <v>0</v>
      </c>
      <c r="S111" s="2816"/>
      <c r="T111" s="537"/>
    </row>
    <row r="112" spans="1:71" s="1537" customFormat="1" ht="13.5" customHeight="1" thickBot="1" x14ac:dyDescent="0.25">
      <c r="A112" s="3106"/>
      <c r="B112" s="2045" t="s">
        <v>5</v>
      </c>
      <c r="C112" s="2967"/>
      <c r="D112" s="2046">
        <f>+E112+F112+G112+H112</f>
        <v>295200</v>
      </c>
      <c r="E112" s="3">
        <v>0</v>
      </c>
      <c r="F112" s="3">
        <v>295200</v>
      </c>
      <c r="G112" s="1629">
        <v>0</v>
      </c>
      <c r="H112" s="2047">
        <v>0</v>
      </c>
      <c r="I112" s="2046">
        <f>+J112+K112+L112+M112</f>
        <v>295200</v>
      </c>
      <c r="J112" s="3">
        <v>0</v>
      </c>
      <c r="K112" s="3">
        <v>295200</v>
      </c>
      <c r="L112" s="1629">
        <v>0</v>
      </c>
      <c r="M112" s="2047">
        <v>0</v>
      </c>
      <c r="N112" s="2048">
        <f>+J112+K112+P112</f>
        <v>295200</v>
      </c>
      <c r="O112" s="1710">
        <f t="shared" si="48"/>
        <v>100</v>
      </c>
      <c r="P112" s="1624">
        <v>0</v>
      </c>
      <c r="Q112" s="1624">
        <v>0</v>
      </c>
      <c r="R112" s="1629">
        <f>+P112-L112*0.25</f>
        <v>0</v>
      </c>
      <c r="S112" s="2818"/>
      <c r="T112" s="537"/>
    </row>
    <row r="113" spans="1:20" s="1537" customFormat="1" ht="42.75" customHeight="1" x14ac:dyDescent="0.2">
      <c r="A113" s="3105" t="s">
        <v>43</v>
      </c>
      <c r="B113" s="2042" t="s">
        <v>181</v>
      </c>
      <c r="C113" s="1687" t="s">
        <v>225</v>
      </c>
      <c r="D113" s="1688"/>
      <c r="E113" s="4"/>
      <c r="F113" s="4"/>
      <c r="G113" s="1689"/>
      <c r="H113" s="1690"/>
      <c r="I113" s="1688"/>
      <c r="J113" s="4"/>
      <c r="K113" s="4"/>
      <c r="L113" s="1689"/>
      <c r="M113" s="1690"/>
      <c r="N113" s="1688"/>
      <c r="O113" s="1973"/>
      <c r="P113" s="1988"/>
      <c r="Q113" s="2049"/>
      <c r="R113" s="4"/>
      <c r="S113" s="3107" t="s">
        <v>182</v>
      </c>
      <c r="T113" s="537"/>
    </row>
    <row r="114" spans="1:20" s="1537" customFormat="1" ht="13.5" customHeight="1" x14ac:dyDescent="0.2">
      <c r="A114" s="3097"/>
      <c r="B114" s="565" t="s">
        <v>3</v>
      </c>
      <c r="C114" s="1694"/>
      <c r="D114" s="1697">
        <f>+D115</f>
        <v>2214408</v>
      </c>
      <c r="E114" s="1479">
        <f t="shared" ref="E114:H115" si="72">+E115</f>
        <v>1759444</v>
      </c>
      <c r="F114" s="1479">
        <f t="shared" si="72"/>
        <v>454964</v>
      </c>
      <c r="G114" s="1713">
        <f t="shared" si="72"/>
        <v>0</v>
      </c>
      <c r="H114" s="1713">
        <f t="shared" si="72"/>
        <v>0</v>
      </c>
      <c r="I114" s="1697">
        <f>+I115</f>
        <v>2214408</v>
      </c>
      <c r="J114" s="1479">
        <f t="shared" ref="J114:N115" si="73">+J115</f>
        <v>1759444</v>
      </c>
      <c r="K114" s="1479">
        <f t="shared" si="73"/>
        <v>454964</v>
      </c>
      <c r="L114" s="1713">
        <f t="shared" si="73"/>
        <v>0</v>
      </c>
      <c r="M114" s="1713">
        <f t="shared" si="73"/>
        <v>0</v>
      </c>
      <c r="N114" s="1697">
        <f t="shared" si="73"/>
        <v>2214408</v>
      </c>
      <c r="O114" s="1699">
        <f t="shared" si="48"/>
        <v>100</v>
      </c>
      <c r="P114" s="1479">
        <f>+P115</f>
        <v>0</v>
      </c>
      <c r="Q114" s="1713">
        <v>0</v>
      </c>
      <c r="R114" s="1479">
        <f>+P114-L114*0.25</f>
        <v>0</v>
      </c>
      <c r="S114" s="2769"/>
      <c r="T114" s="537"/>
    </row>
    <row r="115" spans="1:20" s="1537" customFormat="1" ht="11.25" customHeight="1" x14ac:dyDescent="0.2">
      <c r="A115" s="3097"/>
      <c r="B115" s="925" t="s">
        <v>18</v>
      </c>
      <c r="C115" s="3108" t="s">
        <v>183</v>
      </c>
      <c r="D115" s="1557">
        <f>+D116</f>
        <v>2214408</v>
      </c>
      <c r="E115" s="1558">
        <f t="shared" si="72"/>
        <v>1759444</v>
      </c>
      <c r="F115" s="1558">
        <f t="shared" si="72"/>
        <v>454964</v>
      </c>
      <c r="G115" s="1912">
        <f t="shared" si="72"/>
        <v>0</v>
      </c>
      <c r="H115" s="1912">
        <f t="shared" si="72"/>
        <v>0</v>
      </c>
      <c r="I115" s="1557">
        <f>+I116</f>
        <v>2214408</v>
      </c>
      <c r="J115" s="1558">
        <f t="shared" si="73"/>
        <v>1759444</v>
      </c>
      <c r="K115" s="1558">
        <f t="shared" si="73"/>
        <v>454964</v>
      </c>
      <c r="L115" s="1912">
        <f t="shared" si="73"/>
        <v>0</v>
      </c>
      <c r="M115" s="1912">
        <f t="shared" si="73"/>
        <v>0</v>
      </c>
      <c r="N115" s="1557">
        <f t="shared" si="73"/>
        <v>2214408</v>
      </c>
      <c r="O115" s="2011">
        <f t="shared" si="48"/>
        <v>100</v>
      </c>
      <c r="P115" s="1558">
        <f>+P116</f>
        <v>0</v>
      </c>
      <c r="Q115" s="1912">
        <v>0</v>
      </c>
      <c r="R115" s="1558">
        <f>+P115-L115*0.25</f>
        <v>0</v>
      </c>
      <c r="S115" s="2769"/>
      <c r="T115" s="537"/>
    </row>
    <row r="116" spans="1:20" s="1537" customFormat="1" ht="13.5" customHeight="1" thickBot="1" x14ac:dyDescent="0.25">
      <c r="A116" s="3106"/>
      <c r="B116" s="2045" t="s">
        <v>5</v>
      </c>
      <c r="C116" s="2967"/>
      <c r="D116" s="1623">
        <f>+E116+F116+G116+H116</f>
        <v>2214408</v>
      </c>
      <c r="E116" s="1574">
        <f>90820+1668624</f>
        <v>1759444</v>
      </c>
      <c r="F116" s="1574">
        <v>454964</v>
      </c>
      <c r="G116" s="1624">
        <v>0</v>
      </c>
      <c r="H116" s="2047">
        <v>0</v>
      </c>
      <c r="I116" s="1623">
        <f>+J116+K116+L116+M116</f>
        <v>2214408</v>
      </c>
      <c r="J116" s="1574">
        <f>90820+1668624</f>
        <v>1759444</v>
      </c>
      <c r="K116" s="1574">
        <v>454964</v>
      </c>
      <c r="L116" s="1624">
        <v>0</v>
      </c>
      <c r="M116" s="2047">
        <v>0</v>
      </c>
      <c r="N116" s="1623">
        <f>+J116+K116+P116</f>
        <v>2214408</v>
      </c>
      <c r="O116" s="1710">
        <f t="shared" si="48"/>
        <v>100</v>
      </c>
      <c r="P116" s="1574">
        <v>0</v>
      </c>
      <c r="Q116" s="1624">
        <v>0</v>
      </c>
      <c r="R116" s="1574">
        <f>+P116-L116*0.25</f>
        <v>0</v>
      </c>
      <c r="S116" s="2770"/>
      <c r="T116" s="537"/>
    </row>
    <row r="117" spans="1:20" s="1537" customFormat="1" ht="37.5" customHeight="1" x14ac:dyDescent="0.2">
      <c r="A117" s="3096" t="s">
        <v>48</v>
      </c>
      <c r="B117" s="2042" t="s">
        <v>392</v>
      </c>
      <c r="C117" s="1687" t="s">
        <v>225</v>
      </c>
      <c r="D117" s="1688"/>
      <c r="E117" s="4"/>
      <c r="F117" s="4"/>
      <c r="G117" s="4"/>
      <c r="H117" s="2050"/>
      <c r="I117" s="1688"/>
      <c r="J117" s="4"/>
      <c r="K117" s="4"/>
      <c r="L117" s="4"/>
      <c r="M117" s="2050"/>
      <c r="N117" s="1688"/>
      <c r="O117" s="1973"/>
      <c r="P117" s="1988"/>
      <c r="Q117" s="2049"/>
      <c r="R117" s="4"/>
      <c r="S117" s="3107" t="s">
        <v>182</v>
      </c>
      <c r="T117" s="537"/>
    </row>
    <row r="118" spans="1:20" s="1537" customFormat="1" ht="13.5" customHeight="1" x14ac:dyDescent="0.2">
      <c r="A118" s="3097"/>
      <c r="B118" s="565" t="s">
        <v>3</v>
      </c>
      <c r="C118" s="1694"/>
      <c r="D118" s="1695">
        <f>+D119</f>
        <v>2665640</v>
      </c>
      <c r="E118" s="1">
        <f t="shared" ref="E118:H119" si="74">+E119</f>
        <v>1459997</v>
      </c>
      <c r="F118" s="1">
        <f t="shared" si="74"/>
        <v>1205643</v>
      </c>
      <c r="G118" s="2051">
        <f t="shared" si="74"/>
        <v>0</v>
      </c>
      <c r="H118" s="2051">
        <f t="shared" si="74"/>
        <v>0</v>
      </c>
      <c r="I118" s="1695">
        <f>+I119</f>
        <v>2665640</v>
      </c>
      <c r="J118" s="1">
        <f t="shared" ref="J118:N119" si="75">+J119</f>
        <v>1459997</v>
      </c>
      <c r="K118" s="1">
        <f t="shared" si="75"/>
        <v>1205643</v>
      </c>
      <c r="L118" s="2051">
        <f t="shared" si="75"/>
        <v>0</v>
      </c>
      <c r="M118" s="2051">
        <f t="shared" si="75"/>
        <v>0</v>
      </c>
      <c r="N118" s="1695">
        <f t="shared" si="75"/>
        <v>2665640</v>
      </c>
      <c r="O118" s="1699">
        <f t="shared" si="48"/>
        <v>100</v>
      </c>
      <c r="P118" s="1799">
        <f>+P119</f>
        <v>0</v>
      </c>
      <c r="Q118" s="1713">
        <v>0</v>
      </c>
      <c r="R118" s="2051">
        <f>+P118-L118*0.25</f>
        <v>0</v>
      </c>
      <c r="S118" s="2769"/>
      <c r="T118" s="537"/>
    </row>
    <row r="119" spans="1:20" s="1537" customFormat="1" ht="14.25" customHeight="1" x14ac:dyDescent="0.2">
      <c r="A119" s="3097"/>
      <c r="B119" s="925" t="s">
        <v>18</v>
      </c>
      <c r="C119" s="3108" t="s">
        <v>183</v>
      </c>
      <c r="D119" s="1610">
        <f>+D120</f>
        <v>2665640</v>
      </c>
      <c r="E119" s="2">
        <f t="shared" si="74"/>
        <v>1459997</v>
      </c>
      <c r="F119" s="2">
        <f t="shared" si="74"/>
        <v>1205643</v>
      </c>
      <c r="G119" s="2044">
        <f t="shared" si="74"/>
        <v>0</v>
      </c>
      <c r="H119" s="2044">
        <f t="shared" si="74"/>
        <v>0</v>
      </c>
      <c r="I119" s="1610">
        <f>+I120</f>
        <v>2665640</v>
      </c>
      <c r="J119" s="2">
        <f t="shared" si="75"/>
        <v>1459997</v>
      </c>
      <c r="K119" s="2">
        <f t="shared" si="75"/>
        <v>1205643</v>
      </c>
      <c r="L119" s="2044">
        <f t="shared" si="75"/>
        <v>0</v>
      </c>
      <c r="M119" s="2044">
        <f t="shared" si="75"/>
        <v>0</v>
      </c>
      <c r="N119" s="1610">
        <f t="shared" si="75"/>
        <v>2665640</v>
      </c>
      <c r="O119" s="2011">
        <f t="shared" si="48"/>
        <v>100</v>
      </c>
      <c r="P119" s="2052">
        <f>+P120</f>
        <v>0</v>
      </c>
      <c r="Q119" s="1912">
        <v>0</v>
      </c>
      <c r="R119" s="2044">
        <f>+P119-L119*0.25</f>
        <v>0</v>
      </c>
      <c r="S119" s="2769"/>
      <c r="T119" s="537"/>
    </row>
    <row r="120" spans="1:20" s="1537" customFormat="1" ht="13.5" customHeight="1" thickBot="1" x14ac:dyDescent="0.25">
      <c r="A120" s="3106"/>
      <c r="B120" s="2045" t="s">
        <v>5</v>
      </c>
      <c r="C120" s="2967"/>
      <c r="D120" s="2046">
        <f>+E120+F120+G120+H120</f>
        <v>2665640</v>
      </c>
      <c r="E120" s="3">
        <f>1276000-84331+268328</f>
        <v>1459997</v>
      </c>
      <c r="F120" s="2053">
        <v>1205643</v>
      </c>
      <c r="G120" s="2047">
        <v>0</v>
      </c>
      <c r="H120" s="2047">
        <v>0</v>
      </c>
      <c r="I120" s="2046">
        <f>+J120+K120+L120+M120</f>
        <v>2665640</v>
      </c>
      <c r="J120" s="3">
        <f>1276000-84331+268328</f>
        <v>1459997</v>
      </c>
      <c r="K120" s="2053">
        <v>1205643</v>
      </c>
      <c r="L120" s="2047">
        <v>0</v>
      </c>
      <c r="M120" s="2047">
        <v>0</v>
      </c>
      <c r="N120" s="2046">
        <f>+J120+K120+P120</f>
        <v>2665640</v>
      </c>
      <c r="O120" s="1710">
        <f t="shared" si="48"/>
        <v>100</v>
      </c>
      <c r="P120" s="2054">
        <v>0</v>
      </c>
      <c r="Q120" s="1624">
        <v>0</v>
      </c>
      <c r="R120" s="2047">
        <f>+P120-L120*0.25</f>
        <v>0</v>
      </c>
      <c r="S120" s="2770"/>
      <c r="T120" s="537"/>
    </row>
    <row r="121" spans="1:20" s="1537" customFormat="1" ht="25.5" customHeight="1" x14ac:dyDescent="0.2">
      <c r="A121" s="3096" t="s">
        <v>49</v>
      </c>
      <c r="B121" s="2042" t="s">
        <v>184</v>
      </c>
      <c r="C121" s="1687" t="s">
        <v>225</v>
      </c>
      <c r="D121" s="1688"/>
      <c r="E121" s="4"/>
      <c r="F121" s="4"/>
      <c r="G121" s="4"/>
      <c r="H121" s="2050"/>
      <c r="I121" s="1688"/>
      <c r="J121" s="4"/>
      <c r="K121" s="4"/>
      <c r="L121" s="4"/>
      <c r="M121" s="2050"/>
      <c r="N121" s="2050"/>
      <c r="O121" s="2055"/>
      <c r="P121" s="2055"/>
      <c r="Q121" s="2055"/>
      <c r="R121" s="4"/>
      <c r="S121" s="3107" t="s">
        <v>182</v>
      </c>
      <c r="T121" s="537"/>
    </row>
    <row r="122" spans="1:20" s="1537" customFormat="1" ht="13.5" customHeight="1" x14ac:dyDescent="0.2">
      <c r="A122" s="3097"/>
      <c r="B122" s="565" t="s">
        <v>3</v>
      </c>
      <c r="C122" s="1694"/>
      <c r="D122" s="1695">
        <f>+D123</f>
        <v>2130882</v>
      </c>
      <c r="E122" s="1">
        <f t="shared" ref="E122:H123" si="76">+E123</f>
        <v>190882</v>
      </c>
      <c r="F122" s="1">
        <f t="shared" si="76"/>
        <v>1905000</v>
      </c>
      <c r="G122" s="1">
        <f t="shared" si="76"/>
        <v>35000</v>
      </c>
      <c r="H122" s="1">
        <f t="shared" si="76"/>
        <v>0</v>
      </c>
      <c r="I122" s="1695">
        <f>+I123</f>
        <v>2117080</v>
      </c>
      <c r="J122" s="1">
        <f t="shared" ref="J122:N123" si="77">+J123</f>
        <v>190882</v>
      </c>
      <c r="K122" s="1">
        <f t="shared" si="77"/>
        <v>1891198</v>
      </c>
      <c r="L122" s="1">
        <f t="shared" si="77"/>
        <v>35000</v>
      </c>
      <c r="M122" s="1">
        <f t="shared" si="77"/>
        <v>0</v>
      </c>
      <c r="N122" s="1695">
        <f t="shared" si="77"/>
        <v>2082080</v>
      </c>
      <c r="O122" s="1699">
        <f t="shared" si="48"/>
        <v>97.709774637919892</v>
      </c>
      <c r="P122" s="1474">
        <f>+P123</f>
        <v>0</v>
      </c>
      <c r="Q122" s="1699">
        <f t="shared" si="50"/>
        <v>0</v>
      </c>
      <c r="R122" s="1">
        <f>+P122-L122*0.25</f>
        <v>-8750</v>
      </c>
      <c r="S122" s="2769"/>
      <c r="T122" s="537"/>
    </row>
    <row r="123" spans="1:20" s="1537" customFormat="1" ht="12" customHeight="1" x14ac:dyDescent="0.2">
      <c r="A123" s="3097"/>
      <c r="B123" s="925" t="s">
        <v>18</v>
      </c>
      <c r="C123" s="3108" t="s">
        <v>183</v>
      </c>
      <c r="D123" s="1610">
        <f>+D124</f>
        <v>2130882</v>
      </c>
      <c r="E123" s="2">
        <f t="shared" si="76"/>
        <v>190882</v>
      </c>
      <c r="F123" s="2">
        <f t="shared" si="76"/>
        <v>1905000</v>
      </c>
      <c r="G123" s="2">
        <f t="shared" si="76"/>
        <v>35000</v>
      </c>
      <c r="H123" s="2">
        <f t="shared" si="76"/>
        <v>0</v>
      </c>
      <c r="I123" s="1610">
        <f>+I124</f>
        <v>2117080</v>
      </c>
      <c r="J123" s="2">
        <f t="shared" si="77"/>
        <v>190882</v>
      </c>
      <c r="K123" s="2">
        <f t="shared" si="77"/>
        <v>1891198</v>
      </c>
      <c r="L123" s="2">
        <f t="shared" si="77"/>
        <v>35000</v>
      </c>
      <c r="M123" s="2">
        <f t="shared" si="77"/>
        <v>0</v>
      </c>
      <c r="N123" s="1610">
        <f t="shared" si="77"/>
        <v>2082080</v>
      </c>
      <c r="O123" s="2011">
        <f t="shared" si="48"/>
        <v>97.709774637919892</v>
      </c>
      <c r="P123" s="2017">
        <f>+P124</f>
        <v>0</v>
      </c>
      <c r="Q123" s="2011">
        <f t="shared" si="50"/>
        <v>0</v>
      </c>
      <c r="R123" s="2">
        <f>+P123-L123*0.25</f>
        <v>-8750</v>
      </c>
      <c r="S123" s="2769"/>
      <c r="T123" s="537"/>
    </row>
    <row r="124" spans="1:20" s="1537" customFormat="1" ht="13.5" customHeight="1" thickBot="1" x14ac:dyDescent="0.25">
      <c r="A124" s="3106"/>
      <c r="B124" s="2045" t="s">
        <v>5</v>
      </c>
      <c r="C124" s="2967"/>
      <c r="D124" s="2046">
        <f>+E124+F124+G124+H124</f>
        <v>2130882</v>
      </c>
      <c r="E124" s="3">
        <f>153720+2607+34555</f>
        <v>190882</v>
      </c>
      <c r="F124" s="3">
        <v>1905000</v>
      </c>
      <c r="G124" s="2053">
        <v>35000</v>
      </c>
      <c r="H124" s="2053">
        <v>0</v>
      </c>
      <c r="I124" s="2046">
        <f>+J124+K124+L124+M124</f>
        <v>2117080</v>
      </c>
      <c r="J124" s="3">
        <f>153720+2607+34555</f>
        <v>190882</v>
      </c>
      <c r="K124" s="2053">
        <v>1891198</v>
      </c>
      <c r="L124" s="2053">
        <v>35000</v>
      </c>
      <c r="M124" s="2053">
        <v>0</v>
      </c>
      <c r="N124" s="2046">
        <f>+J124+K124+P124</f>
        <v>2082080</v>
      </c>
      <c r="O124" s="1710">
        <f t="shared" si="48"/>
        <v>97.709774637919892</v>
      </c>
      <c r="P124" s="2056">
        <v>0</v>
      </c>
      <c r="Q124" s="1710">
        <f t="shared" si="50"/>
        <v>0</v>
      </c>
      <c r="R124" s="2053">
        <f>+P124-L124*0.25</f>
        <v>-8750</v>
      </c>
      <c r="S124" s="2770"/>
      <c r="T124" s="537"/>
    </row>
    <row r="125" spans="1:20" s="1537" customFormat="1" ht="40.5" customHeight="1" x14ac:dyDescent="0.2">
      <c r="A125" s="3096" t="s">
        <v>51</v>
      </c>
      <c r="B125" s="1972" t="s">
        <v>188</v>
      </c>
      <c r="C125" s="1687" t="s">
        <v>225</v>
      </c>
      <c r="D125" s="1688"/>
      <c r="E125" s="4"/>
      <c r="F125" s="4"/>
      <c r="G125" s="4"/>
      <c r="H125" s="1690"/>
      <c r="I125" s="1688"/>
      <c r="J125" s="4"/>
      <c r="K125" s="4"/>
      <c r="L125" s="4"/>
      <c r="M125" s="1690"/>
      <c r="N125" s="1688"/>
      <c r="O125" s="1973"/>
      <c r="P125" s="1988"/>
      <c r="Q125" s="1973"/>
      <c r="R125" s="4"/>
      <c r="S125" s="3089" t="s">
        <v>182</v>
      </c>
      <c r="T125" s="537"/>
    </row>
    <row r="126" spans="1:20" s="1537" customFormat="1" ht="13.5" customHeight="1" x14ac:dyDescent="0.2">
      <c r="A126" s="3097"/>
      <c r="B126" s="565" t="s">
        <v>3</v>
      </c>
      <c r="C126" s="1694"/>
      <c r="D126" s="1697">
        <f t="shared" ref="D126:P126" si="78">D127</f>
        <v>888001</v>
      </c>
      <c r="E126" s="1698">
        <f t="shared" si="78"/>
        <v>884841</v>
      </c>
      <c r="F126" s="1698">
        <f t="shared" si="78"/>
        <v>3160</v>
      </c>
      <c r="G126" s="1712">
        <f t="shared" si="78"/>
        <v>0</v>
      </c>
      <c r="H126" s="1712">
        <f t="shared" si="78"/>
        <v>0</v>
      </c>
      <c r="I126" s="1697">
        <f t="shared" si="78"/>
        <v>888001</v>
      </c>
      <c r="J126" s="1698">
        <f t="shared" si="78"/>
        <v>884841</v>
      </c>
      <c r="K126" s="1698">
        <f t="shared" si="78"/>
        <v>3160</v>
      </c>
      <c r="L126" s="1712">
        <f t="shared" si="78"/>
        <v>0</v>
      </c>
      <c r="M126" s="1712">
        <f t="shared" si="78"/>
        <v>0</v>
      </c>
      <c r="N126" s="1697">
        <f t="shared" si="78"/>
        <v>888001</v>
      </c>
      <c r="O126" s="1699">
        <f t="shared" si="48"/>
        <v>100</v>
      </c>
      <c r="P126" s="1712">
        <f t="shared" si="78"/>
        <v>0</v>
      </c>
      <c r="Q126" s="1713">
        <v>0</v>
      </c>
      <c r="R126" s="1713">
        <f>+P126-L126*0.25</f>
        <v>0</v>
      </c>
      <c r="S126" s="3090"/>
      <c r="T126" s="537"/>
    </row>
    <row r="127" spans="1:20" s="2058" customFormat="1" ht="13.5" customHeight="1" x14ac:dyDescent="0.2">
      <c r="A127" s="3097"/>
      <c r="B127" s="925" t="s">
        <v>18</v>
      </c>
      <c r="C127" s="3027" t="s">
        <v>183</v>
      </c>
      <c r="D127" s="1702">
        <f>+D128</f>
        <v>888001</v>
      </c>
      <c r="E127" s="1703">
        <f>+E128</f>
        <v>884841</v>
      </c>
      <c r="F127" s="1703">
        <f>+F128</f>
        <v>3160</v>
      </c>
      <c r="G127" s="1715">
        <f>+G128</f>
        <v>0</v>
      </c>
      <c r="H127" s="2057">
        <v>0</v>
      </c>
      <c r="I127" s="1702">
        <f>+I128</f>
        <v>888001</v>
      </c>
      <c r="J127" s="1703">
        <f>+J128</f>
        <v>884841</v>
      </c>
      <c r="K127" s="1703">
        <f>+K128</f>
        <v>3160</v>
      </c>
      <c r="L127" s="1715">
        <f>+L128</f>
        <v>0</v>
      </c>
      <c r="M127" s="2057">
        <v>0</v>
      </c>
      <c r="N127" s="1702">
        <f>+N128</f>
        <v>888001</v>
      </c>
      <c r="O127" s="1704">
        <f t="shared" si="48"/>
        <v>100</v>
      </c>
      <c r="P127" s="1715">
        <f>+P128</f>
        <v>0</v>
      </c>
      <c r="Q127" s="1715">
        <v>0</v>
      </c>
      <c r="R127" s="1715">
        <f>+P127-L127*0.25</f>
        <v>0</v>
      </c>
      <c r="S127" s="3090"/>
      <c r="T127" s="537"/>
    </row>
    <row r="128" spans="1:20" s="1537" customFormat="1" ht="13.5" customHeight="1" thickBot="1" x14ac:dyDescent="0.25">
      <c r="A128" s="3106"/>
      <c r="B128" s="2059" t="s">
        <v>5</v>
      </c>
      <c r="C128" s="3028"/>
      <c r="D128" s="1706">
        <f>+E128+F128+G128+H128</f>
        <v>888001</v>
      </c>
      <c r="E128" s="1709">
        <v>884841</v>
      </c>
      <c r="F128" s="1709">
        <v>3160</v>
      </c>
      <c r="G128" s="1717">
        <v>0</v>
      </c>
      <c r="H128" s="1717">
        <v>0</v>
      </c>
      <c r="I128" s="1706">
        <f>+J128+K128+L128+M128</f>
        <v>888001</v>
      </c>
      <c r="J128" s="1709">
        <v>884841</v>
      </c>
      <c r="K128" s="1709">
        <v>3160</v>
      </c>
      <c r="L128" s="1717">
        <v>0</v>
      </c>
      <c r="M128" s="1717">
        <v>0</v>
      </c>
      <c r="N128" s="1706">
        <f>+J128+K128+P128</f>
        <v>888001</v>
      </c>
      <c r="O128" s="1710">
        <f t="shared" si="48"/>
        <v>100</v>
      </c>
      <c r="P128" s="1717">
        <v>0</v>
      </c>
      <c r="Q128" s="1624">
        <v>0</v>
      </c>
      <c r="R128" s="1717">
        <f>+P128-L128*0.25</f>
        <v>0</v>
      </c>
      <c r="S128" s="3091"/>
      <c r="T128" s="537"/>
    </row>
    <row r="129" spans="1:20" s="1537" customFormat="1" ht="41.25" customHeight="1" x14ac:dyDescent="0.2">
      <c r="A129" s="3096" t="s">
        <v>52</v>
      </c>
      <c r="B129" s="1972" t="s">
        <v>382</v>
      </c>
      <c r="C129" s="1687" t="s">
        <v>233</v>
      </c>
      <c r="D129" s="1688"/>
      <c r="E129" s="4"/>
      <c r="F129" s="4"/>
      <c r="G129" s="4"/>
      <c r="H129" s="1690"/>
      <c r="I129" s="1688"/>
      <c r="J129" s="4"/>
      <c r="K129" s="4"/>
      <c r="L129" s="4"/>
      <c r="M129" s="1690"/>
      <c r="N129" s="1688"/>
      <c r="O129" s="1973"/>
      <c r="P129" s="1988"/>
      <c r="Q129" s="1973"/>
      <c r="R129" s="4"/>
      <c r="S129" s="3089" t="s">
        <v>179</v>
      </c>
      <c r="T129" s="537"/>
    </row>
    <row r="130" spans="1:20" s="1537" customFormat="1" ht="13.5" customHeight="1" x14ac:dyDescent="0.2">
      <c r="A130" s="3097"/>
      <c r="B130" s="565" t="s">
        <v>3</v>
      </c>
      <c r="C130" s="1694"/>
      <c r="D130" s="1695">
        <f t="shared" ref="D130:P130" si="79">D131</f>
        <v>2073575</v>
      </c>
      <c r="E130" s="1696">
        <f t="shared" si="79"/>
        <v>265198</v>
      </c>
      <c r="F130" s="1696">
        <f t="shared" si="79"/>
        <v>355002</v>
      </c>
      <c r="G130" s="1696">
        <f t="shared" si="79"/>
        <v>350000</v>
      </c>
      <c r="H130" s="1696">
        <f t="shared" si="79"/>
        <v>1103375</v>
      </c>
      <c r="I130" s="1695">
        <f t="shared" si="79"/>
        <v>2038105</v>
      </c>
      <c r="J130" s="1696">
        <f t="shared" si="79"/>
        <v>265198</v>
      </c>
      <c r="K130" s="1696">
        <f t="shared" si="79"/>
        <v>319532</v>
      </c>
      <c r="L130" s="1696">
        <f t="shared" si="79"/>
        <v>350000</v>
      </c>
      <c r="M130" s="1696">
        <f t="shared" si="79"/>
        <v>1103375</v>
      </c>
      <c r="N130" s="1695">
        <f t="shared" si="79"/>
        <v>642871</v>
      </c>
      <c r="O130" s="2060">
        <f t="shared" si="48"/>
        <v>31.003026174601832</v>
      </c>
      <c r="P130" s="1696">
        <f t="shared" si="79"/>
        <v>58141</v>
      </c>
      <c r="Q130" s="2060">
        <f t="shared" si="50"/>
        <v>16.611714285714285</v>
      </c>
      <c r="R130" s="1">
        <f>+P130-L130*0.25</f>
        <v>-29359</v>
      </c>
      <c r="S130" s="3090"/>
      <c r="T130" s="537"/>
    </row>
    <row r="131" spans="1:20" s="2058" customFormat="1" ht="13.5" customHeight="1" x14ac:dyDescent="0.2">
      <c r="A131" s="3097"/>
      <c r="B131" s="925" t="s">
        <v>18</v>
      </c>
      <c r="C131" s="3027" t="s">
        <v>177</v>
      </c>
      <c r="D131" s="1700">
        <f t="shared" ref="D131:H131" si="80">+D132</f>
        <v>2073575</v>
      </c>
      <c r="E131" s="1701">
        <f t="shared" si="80"/>
        <v>265198</v>
      </c>
      <c r="F131" s="1701">
        <f t="shared" si="80"/>
        <v>355002</v>
      </c>
      <c r="G131" s="1701">
        <f t="shared" si="80"/>
        <v>350000</v>
      </c>
      <c r="H131" s="1701">
        <f t="shared" si="80"/>
        <v>1103375</v>
      </c>
      <c r="I131" s="1700">
        <f t="shared" ref="I131:N131" si="81">+I132</f>
        <v>2038105</v>
      </c>
      <c r="J131" s="1701">
        <f t="shared" si="81"/>
        <v>265198</v>
      </c>
      <c r="K131" s="1701">
        <f t="shared" si="81"/>
        <v>319532</v>
      </c>
      <c r="L131" s="1701">
        <f t="shared" si="81"/>
        <v>350000</v>
      </c>
      <c r="M131" s="1701">
        <f t="shared" si="81"/>
        <v>1103375</v>
      </c>
      <c r="N131" s="1700">
        <f t="shared" si="81"/>
        <v>642871</v>
      </c>
      <c r="O131" s="2061">
        <f t="shared" si="48"/>
        <v>31.003026174601832</v>
      </c>
      <c r="P131" s="1701">
        <f>+P132</f>
        <v>58141</v>
      </c>
      <c r="Q131" s="2061">
        <f t="shared" si="50"/>
        <v>16.611714285714285</v>
      </c>
      <c r="R131" s="2">
        <f>+P131-L131*0.25</f>
        <v>-29359</v>
      </c>
      <c r="S131" s="3090"/>
      <c r="T131" s="537"/>
    </row>
    <row r="132" spans="1:20" s="1537" customFormat="1" ht="13.5" customHeight="1" thickBot="1" x14ac:dyDescent="0.25">
      <c r="A132" s="3106"/>
      <c r="B132" s="2059" t="s">
        <v>5</v>
      </c>
      <c r="C132" s="3028"/>
      <c r="D132" s="1706">
        <f>+E132+F132+G132+H132</f>
        <v>2073575</v>
      </c>
      <c r="E132" s="1707">
        <v>265198</v>
      </c>
      <c r="F132" s="1707">
        <v>355002</v>
      </c>
      <c r="G132" s="1707">
        <v>350000</v>
      </c>
      <c r="H132" s="1707">
        <f>1453375-350000</f>
        <v>1103375</v>
      </c>
      <c r="I132" s="1706">
        <f>+J132+K132+L132+M132</f>
        <v>2038105</v>
      </c>
      <c r="J132" s="1707">
        <v>265198</v>
      </c>
      <c r="K132" s="1707">
        <v>319532</v>
      </c>
      <c r="L132" s="1707">
        <v>350000</v>
      </c>
      <c r="M132" s="1707">
        <f>1453375-350000</f>
        <v>1103375</v>
      </c>
      <c r="N132" s="1706">
        <f>+J132+K132+P132</f>
        <v>642871</v>
      </c>
      <c r="O132" s="2062">
        <f t="shared" si="48"/>
        <v>31.003026174601832</v>
      </c>
      <c r="P132" s="1707">
        <v>58141</v>
      </c>
      <c r="Q132" s="2062">
        <f t="shared" si="50"/>
        <v>16.611714285714285</v>
      </c>
      <c r="R132" s="3">
        <f>+P132-L132*0.25</f>
        <v>-29359</v>
      </c>
      <c r="S132" s="3091"/>
      <c r="T132" s="537"/>
    </row>
    <row r="133" spans="1:20" ht="16.5" customHeight="1" x14ac:dyDescent="0.2">
      <c r="A133" s="3096" t="s">
        <v>53</v>
      </c>
      <c r="B133" s="1686" t="s">
        <v>284</v>
      </c>
      <c r="C133" s="1687" t="s">
        <v>233</v>
      </c>
      <c r="D133" s="1688"/>
      <c r="E133" s="4"/>
      <c r="F133" s="4"/>
      <c r="G133" s="4"/>
      <c r="H133" s="1690"/>
      <c r="I133" s="1688"/>
      <c r="J133" s="4"/>
      <c r="K133" s="4"/>
      <c r="L133" s="4"/>
      <c r="M133" s="1690"/>
      <c r="N133" s="1688"/>
      <c r="O133" s="1691"/>
      <c r="P133" s="4"/>
      <c r="Q133" s="1691"/>
      <c r="R133" s="4"/>
      <c r="S133" s="3089" t="s">
        <v>179</v>
      </c>
      <c r="T133" s="537"/>
    </row>
    <row r="134" spans="1:20" x14ac:dyDescent="0.2">
      <c r="A134" s="3097"/>
      <c r="B134" s="879" t="s">
        <v>3</v>
      </c>
      <c r="C134" s="1694"/>
      <c r="D134" s="1695">
        <f t="shared" ref="D134:P134" si="82">D135</f>
        <v>276388</v>
      </c>
      <c r="E134" s="1711">
        <f t="shared" si="82"/>
        <v>0</v>
      </c>
      <c r="F134" s="1696">
        <f t="shared" si="82"/>
        <v>48000</v>
      </c>
      <c r="G134" s="1696">
        <f t="shared" si="82"/>
        <v>55000</v>
      </c>
      <c r="H134" s="1696">
        <f t="shared" si="82"/>
        <v>173388</v>
      </c>
      <c r="I134" s="1695">
        <f t="shared" si="82"/>
        <v>287420</v>
      </c>
      <c r="J134" s="1711">
        <f t="shared" si="82"/>
        <v>0</v>
      </c>
      <c r="K134" s="1696">
        <f t="shared" si="82"/>
        <v>59032</v>
      </c>
      <c r="L134" s="1696">
        <f t="shared" si="82"/>
        <v>55000</v>
      </c>
      <c r="M134" s="1696">
        <f t="shared" si="82"/>
        <v>173388</v>
      </c>
      <c r="N134" s="1695">
        <f t="shared" si="82"/>
        <v>71025</v>
      </c>
      <c r="O134" s="2060">
        <f t="shared" si="48"/>
        <v>25.697570082637451</v>
      </c>
      <c r="P134" s="1696">
        <f t="shared" si="82"/>
        <v>11993</v>
      </c>
      <c r="Q134" s="2060">
        <f t="shared" si="50"/>
        <v>21.805454545454545</v>
      </c>
      <c r="R134" s="1">
        <f>+P134-L134*0.25</f>
        <v>-1757</v>
      </c>
      <c r="S134" s="3090"/>
      <c r="T134" s="537"/>
    </row>
    <row r="135" spans="1:20" x14ac:dyDescent="0.2">
      <c r="A135" s="3097"/>
      <c r="B135" s="1271" t="s">
        <v>18</v>
      </c>
      <c r="C135" s="3027" t="s">
        <v>177</v>
      </c>
      <c r="D135" s="1700">
        <f t="shared" ref="D135:H135" si="83">+D136</f>
        <v>276388</v>
      </c>
      <c r="E135" s="1714">
        <f t="shared" si="83"/>
        <v>0</v>
      </c>
      <c r="F135" s="1701">
        <f t="shared" si="83"/>
        <v>48000</v>
      </c>
      <c r="G135" s="1701">
        <f t="shared" si="83"/>
        <v>55000</v>
      </c>
      <c r="H135" s="1701">
        <f t="shared" si="83"/>
        <v>173388</v>
      </c>
      <c r="I135" s="1700">
        <f t="shared" ref="I135:N135" si="84">+I136</f>
        <v>287420</v>
      </c>
      <c r="J135" s="1714">
        <f t="shared" si="84"/>
        <v>0</v>
      </c>
      <c r="K135" s="1701">
        <f t="shared" si="84"/>
        <v>59032</v>
      </c>
      <c r="L135" s="1701">
        <f t="shared" si="84"/>
        <v>55000</v>
      </c>
      <c r="M135" s="1701">
        <f t="shared" si="84"/>
        <v>173388</v>
      </c>
      <c r="N135" s="1700">
        <f t="shared" si="84"/>
        <v>71025</v>
      </c>
      <c r="O135" s="2061">
        <f t="shared" si="48"/>
        <v>25.697570082637451</v>
      </c>
      <c r="P135" s="1701">
        <f>+P136</f>
        <v>11993</v>
      </c>
      <c r="Q135" s="2061">
        <f t="shared" si="50"/>
        <v>21.805454545454545</v>
      </c>
      <c r="R135" s="2">
        <f>+P135-L135*0.25</f>
        <v>-1757</v>
      </c>
      <c r="S135" s="3090"/>
      <c r="T135" s="537"/>
    </row>
    <row r="136" spans="1:20" ht="13.5" thickBot="1" x14ac:dyDescent="0.25">
      <c r="A136" s="3106"/>
      <c r="B136" s="1705" t="s">
        <v>5</v>
      </c>
      <c r="C136" s="3028"/>
      <c r="D136" s="1706">
        <f>+E136+F136+G136+H136</f>
        <v>276388</v>
      </c>
      <c r="E136" s="1716">
        <v>0</v>
      </c>
      <c r="F136" s="1707">
        <v>48000</v>
      </c>
      <c r="G136" s="1707">
        <v>55000</v>
      </c>
      <c r="H136" s="1707">
        <f>228388-55000</f>
        <v>173388</v>
      </c>
      <c r="I136" s="1706">
        <f>+J136+K136+L136+M136</f>
        <v>287420</v>
      </c>
      <c r="J136" s="1716">
        <v>0</v>
      </c>
      <c r="K136" s="1707">
        <v>59032</v>
      </c>
      <c r="L136" s="1707">
        <v>55000</v>
      </c>
      <c r="M136" s="1707">
        <f>228388-55000</f>
        <v>173388</v>
      </c>
      <c r="N136" s="1706">
        <f>+J136+K136+P136</f>
        <v>71025</v>
      </c>
      <c r="O136" s="2062">
        <f t="shared" si="48"/>
        <v>25.697570082637451</v>
      </c>
      <c r="P136" s="1707">
        <v>11993</v>
      </c>
      <c r="Q136" s="2062">
        <f t="shared" si="50"/>
        <v>21.805454545454545</v>
      </c>
      <c r="R136" s="3">
        <f>+P136-L136*0.25</f>
        <v>-1757</v>
      </c>
      <c r="S136" s="3091"/>
      <c r="T136" s="537"/>
    </row>
    <row r="137" spans="1:20" x14ac:dyDescent="0.2">
      <c r="A137" s="3096" t="s">
        <v>54</v>
      </c>
      <c r="B137" s="1972" t="s">
        <v>285</v>
      </c>
      <c r="C137" s="1687" t="s">
        <v>233</v>
      </c>
      <c r="D137" s="1688"/>
      <c r="E137" s="4"/>
      <c r="F137" s="4"/>
      <c r="G137" s="4"/>
      <c r="H137" s="1690"/>
      <c r="I137" s="1688"/>
      <c r="J137" s="4"/>
      <c r="K137" s="4"/>
      <c r="L137" s="4"/>
      <c r="M137" s="1690"/>
      <c r="N137" s="1688"/>
      <c r="O137" s="1691"/>
      <c r="P137" s="4"/>
      <c r="Q137" s="1691"/>
      <c r="R137" s="4"/>
      <c r="S137" s="3089" t="s">
        <v>179</v>
      </c>
      <c r="T137" s="537"/>
    </row>
    <row r="138" spans="1:20" x14ac:dyDescent="0.2">
      <c r="A138" s="3097"/>
      <c r="B138" s="565" t="s">
        <v>3</v>
      </c>
      <c r="C138" s="1694"/>
      <c r="D138" s="1695">
        <f t="shared" ref="D138:P138" si="85">D139</f>
        <v>1626573</v>
      </c>
      <c r="E138" s="1696">
        <f t="shared" si="85"/>
        <v>0</v>
      </c>
      <c r="F138" s="1696">
        <f t="shared" si="85"/>
        <v>300900</v>
      </c>
      <c r="G138" s="1696">
        <f t="shared" si="85"/>
        <v>320000</v>
      </c>
      <c r="H138" s="1696">
        <f t="shared" si="85"/>
        <v>1005673</v>
      </c>
      <c r="I138" s="1695">
        <f t="shared" si="85"/>
        <v>1576898</v>
      </c>
      <c r="J138" s="1711">
        <f t="shared" si="85"/>
        <v>0</v>
      </c>
      <c r="K138" s="1696">
        <f t="shared" si="85"/>
        <v>251225</v>
      </c>
      <c r="L138" s="1696">
        <f t="shared" si="85"/>
        <v>320000</v>
      </c>
      <c r="M138" s="1696">
        <f t="shared" si="85"/>
        <v>1005673</v>
      </c>
      <c r="N138" s="1695">
        <f t="shared" si="85"/>
        <v>322484</v>
      </c>
      <c r="O138" s="2060">
        <f t="shared" si="48"/>
        <v>19.825977684370759</v>
      </c>
      <c r="P138" s="1696">
        <f t="shared" si="85"/>
        <v>71259</v>
      </c>
      <c r="Q138" s="2060">
        <f t="shared" si="50"/>
        <v>22.268437499999997</v>
      </c>
      <c r="R138" s="1">
        <f>+P138-L138*0.25</f>
        <v>-8741</v>
      </c>
      <c r="S138" s="3090"/>
      <c r="T138" s="537"/>
    </row>
    <row r="139" spans="1:20" x14ac:dyDescent="0.2">
      <c r="A139" s="3097"/>
      <c r="B139" s="925" t="s">
        <v>18</v>
      </c>
      <c r="C139" s="3027" t="s">
        <v>177</v>
      </c>
      <c r="D139" s="1700">
        <f t="shared" ref="D139:H139" si="86">+D140</f>
        <v>1626573</v>
      </c>
      <c r="E139" s="1701">
        <f t="shared" si="86"/>
        <v>0</v>
      </c>
      <c r="F139" s="1701">
        <f t="shared" si="86"/>
        <v>300900</v>
      </c>
      <c r="G139" s="1701">
        <f t="shared" si="86"/>
        <v>320000</v>
      </c>
      <c r="H139" s="1701">
        <f t="shared" si="86"/>
        <v>1005673</v>
      </c>
      <c r="I139" s="1700">
        <f t="shared" ref="I139:N139" si="87">+I140</f>
        <v>1576898</v>
      </c>
      <c r="J139" s="1714">
        <f t="shared" si="87"/>
        <v>0</v>
      </c>
      <c r="K139" s="1701">
        <f t="shared" si="87"/>
        <v>251225</v>
      </c>
      <c r="L139" s="1701">
        <f t="shared" si="87"/>
        <v>320000</v>
      </c>
      <c r="M139" s="1701">
        <f t="shared" si="87"/>
        <v>1005673</v>
      </c>
      <c r="N139" s="1700">
        <f t="shared" si="87"/>
        <v>322484</v>
      </c>
      <c r="O139" s="2061">
        <f>N139/D139*100</f>
        <v>19.825977684370759</v>
      </c>
      <c r="P139" s="1701">
        <f>+P140</f>
        <v>71259</v>
      </c>
      <c r="Q139" s="2061">
        <f t="shared" si="50"/>
        <v>22.268437499999997</v>
      </c>
      <c r="R139" s="2">
        <f>+P139-L139*0.25</f>
        <v>-8741</v>
      </c>
      <c r="S139" s="3090"/>
      <c r="T139" s="537"/>
    </row>
    <row r="140" spans="1:20" ht="13.5" thickBot="1" x14ac:dyDescent="0.25">
      <c r="A140" s="3106"/>
      <c r="B140" s="2059" t="s">
        <v>5</v>
      </c>
      <c r="C140" s="3028"/>
      <c r="D140" s="1706">
        <f>+E140+F140+G140+H140</f>
        <v>1626573</v>
      </c>
      <c r="E140" s="1707">
        <v>0</v>
      </c>
      <c r="F140" s="1707">
        <v>300900</v>
      </c>
      <c r="G140" s="1707">
        <v>320000</v>
      </c>
      <c r="H140" s="1707">
        <f>1325673-320000</f>
        <v>1005673</v>
      </c>
      <c r="I140" s="1706">
        <f>+J140+K140+L140+M140</f>
        <v>1576898</v>
      </c>
      <c r="J140" s="1716">
        <v>0</v>
      </c>
      <c r="K140" s="1707">
        <v>251225</v>
      </c>
      <c r="L140" s="1707">
        <v>320000</v>
      </c>
      <c r="M140" s="1707">
        <f>1325673-320000</f>
        <v>1005673</v>
      </c>
      <c r="N140" s="1706">
        <f>+J140+K140+P140</f>
        <v>322484</v>
      </c>
      <c r="O140" s="2062">
        <f t="shared" ref="O140:O172" si="88">N140/D140*100</f>
        <v>19.825977684370759</v>
      </c>
      <c r="P140" s="1707">
        <v>71259</v>
      </c>
      <c r="Q140" s="2062">
        <f t="shared" si="50"/>
        <v>22.268437499999997</v>
      </c>
      <c r="R140" s="3">
        <f>+P140-L140*0.25</f>
        <v>-8741</v>
      </c>
      <c r="S140" s="3091"/>
      <c r="T140" s="537"/>
    </row>
    <row r="141" spans="1:20" ht="25.5" x14ac:dyDescent="0.2">
      <c r="A141" s="3096" t="s">
        <v>56</v>
      </c>
      <c r="B141" s="1972" t="s">
        <v>383</v>
      </c>
      <c r="C141" s="1687" t="s">
        <v>233</v>
      </c>
      <c r="D141" s="1688"/>
      <c r="E141" s="4"/>
      <c r="F141" s="4"/>
      <c r="G141" s="4"/>
      <c r="H141" s="1690"/>
      <c r="I141" s="1688"/>
      <c r="J141" s="4"/>
      <c r="K141" s="4"/>
      <c r="L141" s="4"/>
      <c r="M141" s="1690"/>
      <c r="N141" s="1688"/>
      <c r="O141" s="1691"/>
      <c r="P141" s="4"/>
      <c r="Q141" s="1691"/>
      <c r="R141" s="4"/>
      <c r="S141" s="3089" t="s">
        <v>179</v>
      </c>
      <c r="T141" s="537"/>
    </row>
    <row r="142" spans="1:20" x14ac:dyDescent="0.2">
      <c r="A142" s="3097"/>
      <c r="B142" s="565" t="s">
        <v>3</v>
      </c>
      <c r="C142" s="1694"/>
      <c r="D142" s="1695">
        <f t="shared" ref="D142:P142" si="89">D143</f>
        <v>1622060</v>
      </c>
      <c r="E142" s="1696">
        <f t="shared" si="89"/>
        <v>146310</v>
      </c>
      <c r="F142" s="1696">
        <f t="shared" si="89"/>
        <v>230000</v>
      </c>
      <c r="G142" s="1696">
        <f t="shared" si="89"/>
        <v>300000</v>
      </c>
      <c r="H142" s="1696">
        <f t="shared" si="89"/>
        <v>945750</v>
      </c>
      <c r="I142" s="1695">
        <f t="shared" si="89"/>
        <v>1507290</v>
      </c>
      <c r="J142" s="1696">
        <f t="shared" si="89"/>
        <v>146310</v>
      </c>
      <c r="K142" s="1696">
        <f t="shared" si="89"/>
        <v>115230</v>
      </c>
      <c r="L142" s="1696">
        <f t="shared" si="89"/>
        <v>300000</v>
      </c>
      <c r="M142" s="1696">
        <f t="shared" si="89"/>
        <v>945750</v>
      </c>
      <c r="N142" s="1695">
        <f t="shared" si="89"/>
        <v>274154</v>
      </c>
      <c r="O142" s="2060">
        <f t="shared" si="88"/>
        <v>16.901594269015945</v>
      </c>
      <c r="P142" s="1696">
        <f t="shared" si="89"/>
        <v>12614</v>
      </c>
      <c r="Q142" s="2060">
        <f t="shared" si="50"/>
        <v>4.2046666666666672</v>
      </c>
      <c r="R142" s="1">
        <f>+P142-L142*0.25</f>
        <v>-62386</v>
      </c>
      <c r="S142" s="3090"/>
      <c r="T142" s="537"/>
    </row>
    <row r="143" spans="1:20" x14ac:dyDescent="0.2">
      <c r="A143" s="3097"/>
      <c r="B143" s="925" t="s">
        <v>18</v>
      </c>
      <c r="C143" s="3027" t="s">
        <v>177</v>
      </c>
      <c r="D143" s="1700">
        <f t="shared" ref="D143:H143" si="90">+D144</f>
        <v>1622060</v>
      </c>
      <c r="E143" s="1701">
        <f t="shared" si="90"/>
        <v>146310</v>
      </c>
      <c r="F143" s="1701">
        <f t="shared" si="90"/>
        <v>230000</v>
      </c>
      <c r="G143" s="1701">
        <f t="shared" si="90"/>
        <v>300000</v>
      </c>
      <c r="H143" s="1701">
        <f t="shared" si="90"/>
        <v>945750</v>
      </c>
      <c r="I143" s="1700">
        <f t="shared" ref="I143:N143" si="91">+I144</f>
        <v>1507290</v>
      </c>
      <c r="J143" s="1701">
        <f t="shared" si="91"/>
        <v>146310</v>
      </c>
      <c r="K143" s="1701">
        <f t="shared" si="91"/>
        <v>115230</v>
      </c>
      <c r="L143" s="1701">
        <f t="shared" si="91"/>
        <v>300000</v>
      </c>
      <c r="M143" s="1701">
        <f t="shared" si="91"/>
        <v>945750</v>
      </c>
      <c r="N143" s="1700">
        <f t="shared" si="91"/>
        <v>274154</v>
      </c>
      <c r="O143" s="2061">
        <f t="shared" si="88"/>
        <v>16.901594269015945</v>
      </c>
      <c r="P143" s="1701">
        <f>+P144</f>
        <v>12614</v>
      </c>
      <c r="Q143" s="2061">
        <f t="shared" si="50"/>
        <v>4.2046666666666672</v>
      </c>
      <c r="R143" s="2">
        <f>+P143-L143*0.25</f>
        <v>-62386</v>
      </c>
      <c r="S143" s="3090"/>
      <c r="T143" s="537"/>
    </row>
    <row r="144" spans="1:20" ht="13.5" thickBot="1" x14ac:dyDescent="0.25">
      <c r="A144" s="3106"/>
      <c r="B144" s="2059" t="s">
        <v>5</v>
      </c>
      <c r="C144" s="3028"/>
      <c r="D144" s="1706">
        <f>+E144+F144+G144+H144</f>
        <v>1622060</v>
      </c>
      <c r="E144" s="1707">
        <v>146310</v>
      </c>
      <c r="F144" s="1707">
        <v>230000</v>
      </c>
      <c r="G144" s="1707">
        <v>300000</v>
      </c>
      <c r="H144" s="1707">
        <v>945750</v>
      </c>
      <c r="I144" s="1706">
        <f>+J144+K144+L144+M144</f>
        <v>1507290</v>
      </c>
      <c r="J144" s="1707">
        <v>146310</v>
      </c>
      <c r="K144" s="1707">
        <v>115230</v>
      </c>
      <c r="L144" s="1707">
        <v>300000</v>
      </c>
      <c r="M144" s="1707">
        <v>945750</v>
      </c>
      <c r="N144" s="1706">
        <f>+J144+K144+P144</f>
        <v>274154</v>
      </c>
      <c r="O144" s="2062">
        <f t="shared" si="88"/>
        <v>16.901594269015945</v>
      </c>
      <c r="P144" s="1707">
        <v>12614</v>
      </c>
      <c r="Q144" s="2062">
        <f t="shared" ref="Q144:Q172" si="92">P144/G144*100</f>
        <v>4.2046666666666672</v>
      </c>
      <c r="R144" s="3">
        <f>+P144-L144*0.25</f>
        <v>-62386</v>
      </c>
      <c r="S144" s="3091"/>
      <c r="T144" s="537"/>
    </row>
    <row r="145" spans="1:20" ht="25.5" x14ac:dyDescent="0.2">
      <c r="A145" s="3096" t="s">
        <v>58</v>
      </c>
      <c r="B145" s="1972" t="s">
        <v>384</v>
      </c>
      <c r="C145" s="1687" t="s">
        <v>233</v>
      </c>
      <c r="D145" s="1688"/>
      <c r="E145" s="4"/>
      <c r="F145" s="4"/>
      <c r="G145" s="4"/>
      <c r="H145" s="1690"/>
      <c r="I145" s="1688"/>
      <c r="J145" s="4"/>
      <c r="K145" s="4"/>
      <c r="L145" s="4"/>
      <c r="M145" s="1690"/>
      <c r="N145" s="1688"/>
      <c r="O145" s="1691"/>
      <c r="P145" s="4"/>
      <c r="Q145" s="1691"/>
      <c r="R145" s="4"/>
      <c r="S145" s="3089" t="s">
        <v>179</v>
      </c>
      <c r="T145" s="537"/>
    </row>
    <row r="146" spans="1:20" x14ac:dyDescent="0.2">
      <c r="A146" s="3097"/>
      <c r="B146" s="565" t="s">
        <v>3</v>
      </c>
      <c r="C146" s="1694"/>
      <c r="D146" s="1695">
        <f t="shared" ref="D146:P146" si="93">D147</f>
        <v>1556423</v>
      </c>
      <c r="E146" s="1696">
        <f t="shared" si="93"/>
        <v>118927</v>
      </c>
      <c r="F146" s="1696">
        <f t="shared" si="93"/>
        <v>215000</v>
      </c>
      <c r="G146" s="1696">
        <f t="shared" si="93"/>
        <v>294400</v>
      </c>
      <c r="H146" s="1696">
        <f t="shared" si="93"/>
        <v>928096</v>
      </c>
      <c r="I146" s="1695">
        <f t="shared" si="93"/>
        <v>1512914</v>
      </c>
      <c r="J146" s="1696">
        <f t="shared" si="93"/>
        <v>118927</v>
      </c>
      <c r="K146" s="1696">
        <f t="shared" si="93"/>
        <v>171491</v>
      </c>
      <c r="L146" s="1696">
        <f t="shared" si="93"/>
        <v>294400</v>
      </c>
      <c r="M146" s="1696">
        <f t="shared" si="93"/>
        <v>928096</v>
      </c>
      <c r="N146" s="1695">
        <f t="shared" si="93"/>
        <v>359974</v>
      </c>
      <c r="O146" s="2060">
        <f t="shared" si="88"/>
        <v>23.128288389467389</v>
      </c>
      <c r="P146" s="1696">
        <f t="shared" si="93"/>
        <v>69556</v>
      </c>
      <c r="Q146" s="2060">
        <f t="shared" si="92"/>
        <v>23.626358695652176</v>
      </c>
      <c r="R146" s="1">
        <f>+P146-L146*0.25</f>
        <v>-4044</v>
      </c>
      <c r="S146" s="3090"/>
      <c r="T146" s="537"/>
    </row>
    <row r="147" spans="1:20" x14ac:dyDescent="0.2">
      <c r="A147" s="3097"/>
      <c r="B147" s="925" t="s">
        <v>18</v>
      </c>
      <c r="C147" s="3027" t="s">
        <v>177</v>
      </c>
      <c r="D147" s="1700">
        <f t="shared" ref="D147:H147" si="94">+D148</f>
        <v>1556423</v>
      </c>
      <c r="E147" s="1701">
        <f t="shared" si="94"/>
        <v>118927</v>
      </c>
      <c r="F147" s="1701">
        <f t="shared" si="94"/>
        <v>215000</v>
      </c>
      <c r="G147" s="1701">
        <f t="shared" si="94"/>
        <v>294400</v>
      </c>
      <c r="H147" s="1701">
        <f t="shared" si="94"/>
        <v>928096</v>
      </c>
      <c r="I147" s="1700">
        <f t="shared" ref="I147:N147" si="95">+I148</f>
        <v>1512914</v>
      </c>
      <c r="J147" s="1701">
        <f t="shared" si="95"/>
        <v>118927</v>
      </c>
      <c r="K147" s="1701">
        <f t="shared" si="95"/>
        <v>171491</v>
      </c>
      <c r="L147" s="1701">
        <f t="shared" si="95"/>
        <v>294400</v>
      </c>
      <c r="M147" s="1701">
        <f t="shared" si="95"/>
        <v>928096</v>
      </c>
      <c r="N147" s="1700">
        <f t="shared" si="95"/>
        <v>359974</v>
      </c>
      <c r="O147" s="2061">
        <f t="shared" si="88"/>
        <v>23.128288389467389</v>
      </c>
      <c r="P147" s="1701">
        <f>+P148</f>
        <v>69556</v>
      </c>
      <c r="Q147" s="2061">
        <f t="shared" si="92"/>
        <v>23.626358695652176</v>
      </c>
      <c r="R147" s="2">
        <f>+P147-L147*0.25</f>
        <v>-4044</v>
      </c>
      <c r="S147" s="3090"/>
      <c r="T147" s="537"/>
    </row>
    <row r="148" spans="1:20" ht="13.5" thickBot="1" x14ac:dyDescent="0.25">
      <c r="A148" s="3106"/>
      <c r="B148" s="2059" t="s">
        <v>5</v>
      </c>
      <c r="C148" s="3028"/>
      <c r="D148" s="1706">
        <f>+E148+F148+G148+H148</f>
        <v>1556423</v>
      </c>
      <c r="E148" s="1707">
        <v>118927</v>
      </c>
      <c r="F148" s="1707">
        <v>215000</v>
      </c>
      <c r="G148" s="1707">
        <v>294400</v>
      </c>
      <c r="H148" s="1707">
        <f>1222496-294400</f>
        <v>928096</v>
      </c>
      <c r="I148" s="1706">
        <f>+J148+K148+L148+M148</f>
        <v>1512914</v>
      </c>
      <c r="J148" s="1707">
        <v>118927</v>
      </c>
      <c r="K148" s="1707">
        <v>171491</v>
      </c>
      <c r="L148" s="1707">
        <v>294400</v>
      </c>
      <c r="M148" s="1707">
        <f>1222496-294400</f>
        <v>928096</v>
      </c>
      <c r="N148" s="1706">
        <f>+J148+K148+P148</f>
        <v>359974</v>
      </c>
      <c r="O148" s="2062">
        <f t="shared" si="88"/>
        <v>23.128288389467389</v>
      </c>
      <c r="P148" s="1707">
        <v>69556</v>
      </c>
      <c r="Q148" s="2062">
        <f t="shared" si="92"/>
        <v>23.626358695652176</v>
      </c>
      <c r="R148" s="3">
        <f>+P148-L148*0.25</f>
        <v>-4044</v>
      </c>
      <c r="S148" s="3091"/>
      <c r="T148" s="537"/>
    </row>
    <row r="149" spans="1:20" ht="57" customHeight="1" x14ac:dyDescent="0.2">
      <c r="A149" s="3096" t="s">
        <v>60</v>
      </c>
      <c r="B149" s="1972" t="s">
        <v>386</v>
      </c>
      <c r="C149" s="1687" t="s">
        <v>233</v>
      </c>
      <c r="D149" s="1688"/>
      <c r="E149" s="4"/>
      <c r="F149" s="4"/>
      <c r="G149" s="4"/>
      <c r="H149" s="1690"/>
      <c r="I149" s="1688"/>
      <c r="J149" s="4"/>
      <c r="K149" s="4"/>
      <c r="L149" s="4"/>
      <c r="M149" s="1690"/>
      <c r="N149" s="1688"/>
      <c r="O149" s="1691"/>
      <c r="P149" s="4"/>
      <c r="Q149" s="1691"/>
      <c r="R149" s="4"/>
      <c r="S149" s="3089" t="s">
        <v>179</v>
      </c>
      <c r="T149" s="537"/>
    </row>
    <row r="150" spans="1:20" x14ac:dyDescent="0.2">
      <c r="A150" s="3097"/>
      <c r="B150" s="879" t="s">
        <v>3</v>
      </c>
      <c r="C150" s="1694"/>
      <c r="D150" s="1695">
        <f t="shared" ref="D150:P150" si="96">D151</f>
        <v>4068743</v>
      </c>
      <c r="E150" s="1696">
        <f t="shared" si="96"/>
        <v>595043</v>
      </c>
      <c r="F150" s="1696">
        <f t="shared" si="96"/>
        <v>650000</v>
      </c>
      <c r="G150" s="1696">
        <f t="shared" si="96"/>
        <v>680000</v>
      </c>
      <c r="H150" s="1696">
        <f t="shared" si="96"/>
        <v>2143700</v>
      </c>
      <c r="I150" s="1695">
        <f t="shared" si="96"/>
        <v>4027153</v>
      </c>
      <c r="J150" s="1696">
        <f t="shared" si="96"/>
        <v>595043</v>
      </c>
      <c r="K150" s="1696">
        <f t="shared" si="96"/>
        <v>608410</v>
      </c>
      <c r="L150" s="1696">
        <f t="shared" si="96"/>
        <v>680000</v>
      </c>
      <c r="M150" s="1696">
        <f t="shared" si="96"/>
        <v>2143700</v>
      </c>
      <c r="N150" s="1695">
        <f t="shared" si="96"/>
        <v>1334798</v>
      </c>
      <c r="O150" s="2060">
        <f t="shared" si="88"/>
        <v>32.8061516787863</v>
      </c>
      <c r="P150" s="1696">
        <f t="shared" si="96"/>
        <v>131345</v>
      </c>
      <c r="Q150" s="2060">
        <f t="shared" si="92"/>
        <v>19.315441176470589</v>
      </c>
      <c r="R150" s="1">
        <f t="shared" ref="R150:R172" si="97">+P150-L150*0.25</f>
        <v>-38655</v>
      </c>
      <c r="S150" s="3090"/>
      <c r="T150" s="537"/>
    </row>
    <row r="151" spans="1:20" s="1537" customFormat="1" x14ac:dyDescent="0.2">
      <c r="A151" s="3097"/>
      <c r="B151" s="1271" t="s">
        <v>18</v>
      </c>
      <c r="C151" s="3027" t="s">
        <v>177</v>
      </c>
      <c r="D151" s="1700">
        <f t="shared" ref="D151:H151" si="98">+D152</f>
        <v>4068743</v>
      </c>
      <c r="E151" s="1701">
        <f t="shared" si="98"/>
        <v>595043</v>
      </c>
      <c r="F151" s="1701">
        <f t="shared" si="98"/>
        <v>650000</v>
      </c>
      <c r="G151" s="1701">
        <f t="shared" si="98"/>
        <v>680000</v>
      </c>
      <c r="H151" s="1701">
        <f t="shared" si="98"/>
        <v>2143700</v>
      </c>
      <c r="I151" s="1700">
        <f t="shared" ref="I151:N151" si="99">+I152</f>
        <v>4027153</v>
      </c>
      <c r="J151" s="1701">
        <f t="shared" si="99"/>
        <v>595043</v>
      </c>
      <c r="K151" s="1701">
        <f t="shared" si="99"/>
        <v>608410</v>
      </c>
      <c r="L151" s="1701">
        <f t="shared" si="99"/>
        <v>680000</v>
      </c>
      <c r="M151" s="1701">
        <f t="shared" si="99"/>
        <v>2143700</v>
      </c>
      <c r="N151" s="1700">
        <f t="shared" si="99"/>
        <v>1334798</v>
      </c>
      <c r="O151" s="2061">
        <f t="shared" si="88"/>
        <v>32.8061516787863</v>
      </c>
      <c r="P151" s="1701">
        <f>+P152</f>
        <v>131345</v>
      </c>
      <c r="Q151" s="2061">
        <f t="shared" si="92"/>
        <v>19.315441176470589</v>
      </c>
      <c r="R151" s="2">
        <f t="shared" si="97"/>
        <v>-38655</v>
      </c>
      <c r="S151" s="3090"/>
      <c r="T151" s="537"/>
    </row>
    <row r="152" spans="1:20" s="1537" customFormat="1" ht="15.75" customHeight="1" thickBot="1" x14ac:dyDescent="0.25">
      <c r="A152" s="3106"/>
      <c r="B152" s="1705" t="s">
        <v>5</v>
      </c>
      <c r="C152" s="3028"/>
      <c r="D152" s="1706">
        <f>+E152+F152+G152+H152</f>
        <v>4068743</v>
      </c>
      <c r="E152" s="1707">
        <v>595043</v>
      </c>
      <c r="F152" s="1707">
        <v>650000</v>
      </c>
      <c r="G152" s="1707">
        <v>680000</v>
      </c>
      <c r="H152" s="1707">
        <f>2823700-680000</f>
        <v>2143700</v>
      </c>
      <c r="I152" s="1706">
        <f>+J152+K152+L152+M152</f>
        <v>4027153</v>
      </c>
      <c r="J152" s="1707">
        <v>595043</v>
      </c>
      <c r="K152" s="1707">
        <v>608410</v>
      </c>
      <c r="L152" s="1707">
        <v>680000</v>
      </c>
      <c r="M152" s="1707">
        <f>2823700-680000</f>
        <v>2143700</v>
      </c>
      <c r="N152" s="1706">
        <f>+J152+K152+P152</f>
        <v>1334798</v>
      </c>
      <c r="O152" s="2062">
        <f t="shared" si="88"/>
        <v>32.8061516787863</v>
      </c>
      <c r="P152" s="1707">
        <v>131345</v>
      </c>
      <c r="Q152" s="2062">
        <f t="shared" si="92"/>
        <v>19.315441176470589</v>
      </c>
      <c r="R152" s="3">
        <f t="shared" si="97"/>
        <v>-38655</v>
      </c>
      <c r="S152" s="3091"/>
      <c r="T152" s="537"/>
    </row>
    <row r="153" spans="1:20" s="2063" customFormat="1" ht="15" customHeight="1" x14ac:dyDescent="0.2">
      <c r="A153" s="3096" t="s">
        <v>62</v>
      </c>
      <c r="B153" s="1686" t="s">
        <v>286</v>
      </c>
      <c r="C153" s="1687" t="s">
        <v>233</v>
      </c>
      <c r="D153" s="1688"/>
      <c r="E153" s="4"/>
      <c r="F153" s="4"/>
      <c r="G153" s="4"/>
      <c r="H153" s="1690"/>
      <c r="I153" s="1688"/>
      <c r="J153" s="4"/>
      <c r="K153" s="4"/>
      <c r="L153" s="4"/>
      <c r="M153" s="1690"/>
      <c r="N153" s="1688"/>
      <c r="O153" s="1691"/>
      <c r="P153" s="4"/>
      <c r="Q153" s="1691"/>
      <c r="R153" s="4"/>
      <c r="S153" s="3089" t="s">
        <v>179</v>
      </c>
      <c r="T153" s="537"/>
    </row>
    <row r="154" spans="1:20" s="1537" customFormat="1" ht="15" customHeight="1" x14ac:dyDescent="0.2">
      <c r="A154" s="3097"/>
      <c r="B154" s="879" t="s">
        <v>3</v>
      </c>
      <c r="C154" s="1694"/>
      <c r="D154" s="1695">
        <f t="shared" ref="D154:P154" si="100">D155</f>
        <v>1453375</v>
      </c>
      <c r="E154" s="1711">
        <f t="shared" si="100"/>
        <v>0</v>
      </c>
      <c r="F154" s="1696">
        <f t="shared" si="100"/>
        <v>0</v>
      </c>
      <c r="G154" s="1696">
        <f t="shared" si="100"/>
        <v>350000</v>
      </c>
      <c r="H154" s="1696">
        <f t="shared" si="100"/>
        <v>1103375</v>
      </c>
      <c r="I154" s="1695">
        <f t="shared" si="100"/>
        <v>1453375</v>
      </c>
      <c r="J154" s="1711">
        <f t="shared" si="100"/>
        <v>0</v>
      </c>
      <c r="K154" s="1696">
        <f t="shared" si="100"/>
        <v>0</v>
      </c>
      <c r="L154" s="1696">
        <f t="shared" si="100"/>
        <v>350000</v>
      </c>
      <c r="M154" s="1696">
        <f t="shared" si="100"/>
        <v>1103375</v>
      </c>
      <c r="N154" s="1695">
        <f t="shared" si="100"/>
        <v>0</v>
      </c>
      <c r="O154" s="2060">
        <f t="shared" si="88"/>
        <v>0</v>
      </c>
      <c r="P154" s="1696">
        <f t="shared" si="100"/>
        <v>0</v>
      </c>
      <c r="Q154" s="2060">
        <f t="shared" si="92"/>
        <v>0</v>
      </c>
      <c r="R154" s="1">
        <f t="shared" si="97"/>
        <v>-87500</v>
      </c>
      <c r="S154" s="3090"/>
      <c r="T154" s="537"/>
    </row>
    <row r="155" spans="1:20" s="1537" customFormat="1" ht="12" customHeight="1" x14ac:dyDescent="0.2">
      <c r="A155" s="3097"/>
      <c r="B155" s="1271" t="s">
        <v>18</v>
      </c>
      <c r="C155" s="3027" t="s">
        <v>177</v>
      </c>
      <c r="D155" s="1700">
        <f t="shared" ref="D155:H155" si="101">+D156</f>
        <v>1453375</v>
      </c>
      <c r="E155" s="1714">
        <f t="shared" si="101"/>
        <v>0</v>
      </c>
      <c r="F155" s="1701">
        <f t="shared" si="101"/>
        <v>0</v>
      </c>
      <c r="G155" s="1701">
        <f t="shared" si="101"/>
        <v>350000</v>
      </c>
      <c r="H155" s="1701">
        <f t="shared" si="101"/>
        <v>1103375</v>
      </c>
      <c r="I155" s="1700">
        <f t="shared" ref="I155:N155" si="102">+I156</f>
        <v>1453375</v>
      </c>
      <c r="J155" s="1714">
        <f t="shared" si="102"/>
        <v>0</v>
      </c>
      <c r="K155" s="1701">
        <f t="shared" si="102"/>
        <v>0</v>
      </c>
      <c r="L155" s="1701">
        <f t="shared" si="102"/>
        <v>350000</v>
      </c>
      <c r="M155" s="1701">
        <f t="shared" si="102"/>
        <v>1103375</v>
      </c>
      <c r="N155" s="1700">
        <f t="shared" si="102"/>
        <v>0</v>
      </c>
      <c r="O155" s="2061">
        <f t="shared" si="88"/>
        <v>0</v>
      </c>
      <c r="P155" s="1701">
        <f>+P156</f>
        <v>0</v>
      </c>
      <c r="Q155" s="2061">
        <f t="shared" si="92"/>
        <v>0</v>
      </c>
      <c r="R155" s="2">
        <f t="shared" si="97"/>
        <v>-87500</v>
      </c>
      <c r="S155" s="3090"/>
      <c r="T155" s="537"/>
    </row>
    <row r="156" spans="1:20" s="493" customFormat="1" ht="15" customHeight="1" thickBot="1" x14ac:dyDescent="0.25">
      <c r="A156" s="3106"/>
      <c r="B156" s="1705" t="s">
        <v>5</v>
      </c>
      <c r="C156" s="3028"/>
      <c r="D156" s="1706">
        <f>+E156+F156+G156+H156</f>
        <v>1453375</v>
      </c>
      <c r="E156" s="1716">
        <v>0</v>
      </c>
      <c r="F156" s="1707">
        <v>0</v>
      </c>
      <c r="G156" s="1707">
        <v>350000</v>
      </c>
      <c r="H156" s="1707">
        <f>1453375-350000</f>
        <v>1103375</v>
      </c>
      <c r="I156" s="1706">
        <f>+J156+K156+L156+M156</f>
        <v>1453375</v>
      </c>
      <c r="J156" s="1716">
        <v>0</v>
      </c>
      <c r="K156" s="1707">
        <v>0</v>
      </c>
      <c r="L156" s="1707">
        <v>350000</v>
      </c>
      <c r="M156" s="1707">
        <f>1453375-350000</f>
        <v>1103375</v>
      </c>
      <c r="N156" s="1706">
        <f>+J156+K156+P156</f>
        <v>0</v>
      </c>
      <c r="O156" s="2062">
        <f t="shared" si="88"/>
        <v>0</v>
      </c>
      <c r="P156" s="1707">
        <v>0</v>
      </c>
      <c r="Q156" s="2062">
        <f t="shared" si="92"/>
        <v>0</v>
      </c>
      <c r="R156" s="3">
        <f t="shared" si="97"/>
        <v>-87500</v>
      </c>
      <c r="S156" s="3091"/>
      <c r="T156" s="537"/>
    </row>
    <row r="157" spans="1:20" s="493" customFormat="1" ht="15" customHeight="1" x14ac:dyDescent="0.2">
      <c r="A157" s="3096" t="s">
        <v>64</v>
      </c>
      <c r="B157" s="1972" t="s">
        <v>287</v>
      </c>
      <c r="C157" s="1687" t="s">
        <v>233</v>
      </c>
      <c r="D157" s="1688"/>
      <c r="E157" s="1689"/>
      <c r="F157" s="4"/>
      <c r="G157" s="4"/>
      <c r="H157" s="1690"/>
      <c r="I157" s="1688"/>
      <c r="J157" s="1689"/>
      <c r="K157" s="4"/>
      <c r="L157" s="4"/>
      <c r="M157" s="1690"/>
      <c r="N157" s="1688"/>
      <c r="O157" s="1691"/>
      <c r="P157" s="4"/>
      <c r="Q157" s="1691"/>
      <c r="R157" s="4"/>
      <c r="S157" s="3089" t="s">
        <v>179</v>
      </c>
      <c r="T157" s="537"/>
    </row>
    <row r="158" spans="1:20" s="2063" customFormat="1" ht="13.5" customHeight="1" x14ac:dyDescent="0.2">
      <c r="A158" s="3097"/>
      <c r="B158" s="565" t="s">
        <v>3</v>
      </c>
      <c r="C158" s="1694"/>
      <c r="D158" s="1695">
        <f t="shared" ref="D158:P158" si="103">D159</f>
        <v>1299771</v>
      </c>
      <c r="E158" s="1711">
        <f t="shared" si="103"/>
        <v>0</v>
      </c>
      <c r="F158" s="1696">
        <f t="shared" si="103"/>
        <v>380000</v>
      </c>
      <c r="G158" s="1696">
        <f t="shared" si="103"/>
        <v>219850</v>
      </c>
      <c r="H158" s="1696">
        <f t="shared" si="103"/>
        <v>699921</v>
      </c>
      <c r="I158" s="1695">
        <f t="shared" si="103"/>
        <v>1090178</v>
      </c>
      <c r="J158" s="1711">
        <f t="shared" si="103"/>
        <v>0</v>
      </c>
      <c r="K158" s="1696">
        <f t="shared" si="103"/>
        <v>170407</v>
      </c>
      <c r="L158" s="1696">
        <f t="shared" si="103"/>
        <v>219850</v>
      </c>
      <c r="M158" s="1696">
        <f t="shared" si="103"/>
        <v>699921</v>
      </c>
      <c r="N158" s="1695">
        <f t="shared" si="103"/>
        <v>222486</v>
      </c>
      <c r="O158" s="2060">
        <f t="shared" si="88"/>
        <v>17.117322974585523</v>
      </c>
      <c r="P158" s="1696">
        <f t="shared" si="103"/>
        <v>52079</v>
      </c>
      <c r="Q158" s="2060">
        <f t="shared" si="92"/>
        <v>23.688423925403683</v>
      </c>
      <c r="R158" s="1">
        <f t="shared" si="97"/>
        <v>-2883.5</v>
      </c>
      <c r="S158" s="3090"/>
      <c r="T158" s="537"/>
    </row>
    <row r="159" spans="1:20" s="1537" customFormat="1" ht="14.25" customHeight="1" x14ac:dyDescent="0.2">
      <c r="A159" s="3097"/>
      <c r="B159" s="925" t="s">
        <v>18</v>
      </c>
      <c r="C159" s="3027" t="s">
        <v>177</v>
      </c>
      <c r="D159" s="1700">
        <f t="shared" ref="D159:H159" si="104">+D160</f>
        <v>1299771</v>
      </c>
      <c r="E159" s="1714">
        <f t="shared" si="104"/>
        <v>0</v>
      </c>
      <c r="F159" s="1701">
        <f t="shared" si="104"/>
        <v>380000</v>
      </c>
      <c r="G159" s="1701">
        <f t="shared" si="104"/>
        <v>219850</v>
      </c>
      <c r="H159" s="1701">
        <f t="shared" si="104"/>
        <v>699921</v>
      </c>
      <c r="I159" s="1700">
        <f t="shared" ref="I159:N159" si="105">+I160</f>
        <v>1090178</v>
      </c>
      <c r="J159" s="1714">
        <f t="shared" si="105"/>
        <v>0</v>
      </c>
      <c r="K159" s="1701">
        <f t="shared" si="105"/>
        <v>170407</v>
      </c>
      <c r="L159" s="1701">
        <f t="shared" si="105"/>
        <v>219850</v>
      </c>
      <c r="M159" s="1701">
        <f t="shared" si="105"/>
        <v>699921</v>
      </c>
      <c r="N159" s="1700">
        <f t="shared" si="105"/>
        <v>222486</v>
      </c>
      <c r="O159" s="2061">
        <f t="shared" si="88"/>
        <v>17.117322974585523</v>
      </c>
      <c r="P159" s="1701">
        <f>+P160</f>
        <v>52079</v>
      </c>
      <c r="Q159" s="2061">
        <f t="shared" si="92"/>
        <v>23.688423925403683</v>
      </c>
      <c r="R159" s="2">
        <f t="shared" si="97"/>
        <v>-2883.5</v>
      </c>
      <c r="S159" s="3090"/>
      <c r="T159" s="537"/>
    </row>
    <row r="160" spans="1:20" s="493" customFormat="1" ht="12.75" customHeight="1" thickBot="1" x14ac:dyDescent="0.25">
      <c r="A160" s="3106"/>
      <c r="B160" s="2059" t="s">
        <v>5</v>
      </c>
      <c r="C160" s="3028"/>
      <c r="D160" s="1706">
        <f>+E160+F160+G160+H160</f>
        <v>1299771</v>
      </c>
      <c r="E160" s="1716">
        <v>0</v>
      </c>
      <c r="F160" s="1707">
        <v>380000</v>
      </c>
      <c r="G160" s="1707">
        <v>219850</v>
      </c>
      <c r="H160" s="1707">
        <f>919771-219850</f>
        <v>699921</v>
      </c>
      <c r="I160" s="1706">
        <f>+J160+K160+L160+M160</f>
        <v>1090178</v>
      </c>
      <c r="J160" s="1716">
        <v>0</v>
      </c>
      <c r="K160" s="1707">
        <v>170407</v>
      </c>
      <c r="L160" s="1707">
        <v>219850</v>
      </c>
      <c r="M160" s="1707">
        <f>919771-219850</f>
        <v>699921</v>
      </c>
      <c r="N160" s="1706">
        <f>+J160+K160+P160</f>
        <v>222486</v>
      </c>
      <c r="O160" s="2062">
        <f t="shared" si="88"/>
        <v>17.117322974585523</v>
      </c>
      <c r="P160" s="1707">
        <v>52079</v>
      </c>
      <c r="Q160" s="2062">
        <f t="shared" si="92"/>
        <v>23.688423925403683</v>
      </c>
      <c r="R160" s="3">
        <f t="shared" si="97"/>
        <v>-2883.5</v>
      </c>
      <c r="S160" s="3091"/>
      <c r="T160" s="537"/>
    </row>
    <row r="161" spans="1:20" s="493" customFormat="1" ht="15" customHeight="1" x14ac:dyDescent="0.2">
      <c r="A161" s="3096" t="s">
        <v>65</v>
      </c>
      <c r="B161" s="1686" t="s">
        <v>288</v>
      </c>
      <c r="C161" s="1687" t="s">
        <v>233</v>
      </c>
      <c r="D161" s="1688"/>
      <c r="E161" s="1689"/>
      <c r="F161" s="4"/>
      <c r="G161" s="4"/>
      <c r="H161" s="1690"/>
      <c r="I161" s="1688"/>
      <c r="J161" s="1689"/>
      <c r="K161" s="4"/>
      <c r="L161" s="4"/>
      <c r="M161" s="1690"/>
      <c r="N161" s="1688"/>
      <c r="O161" s="1691"/>
      <c r="P161" s="4"/>
      <c r="Q161" s="1691"/>
      <c r="R161" s="4"/>
      <c r="S161" s="3095" t="s">
        <v>385</v>
      </c>
      <c r="T161" s="537"/>
    </row>
    <row r="162" spans="1:20" s="493" customFormat="1" ht="12.75" customHeight="1" x14ac:dyDescent="0.2">
      <c r="A162" s="3097"/>
      <c r="B162" s="879" t="s">
        <v>3</v>
      </c>
      <c r="C162" s="1694"/>
      <c r="D162" s="1695">
        <f t="shared" ref="D162:P162" si="106">D163</f>
        <v>25200000</v>
      </c>
      <c r="E162" s="1711">
        <f t="shared" si="106"/>
        <v>0</v>
      </c>
      <c r="F162" s="1696">
        <f t="shared" si="106"/>
        <v>4700000</v>
      </c>
      <c r="G162" s="1696">
        <f t="shared" si="106"/>
        <v>4800000</v>
      </c>
      <c r="H162" s="1696">
        <f t="shared" si="106"/>
        <v>15700000</v>
      </c>
      <c r="I162" s="1695">
        <f t="shared" si="106"/>
        <v>24943144</v>
      </c>
      <c r="J162" s="1711">
        <f t="shared" si="106"/>
        <v>0</v>
      </c>
      <c r="K162" s="1696">
        <f t="shared" si="106"/>
        <v>4443144</v>
      </c>
      <c r="L162" s="1696">
        <f t="shared" si="106"/>
        <v>4800000</v>
      </c>
      <c r="M162" s="1696">
        <f t="shared" si="106"/>
        <v>15700000</v>
      </c>
      <c r="N162" s="1695">
        <f t="shared" si="106"/>
        <v>5576050</v>
      </c>
      <c r="O162" s="2060">
        <f t="shared" si="88"/>
        <v>22.12718253968254</v>
      </c>
      <c r="P162" s="1696">
        <f t="shared" si="106"/>
        <v>1132906</v>
      </c>
      <c r="Q162" s="2060">
        <f t="shared" si="92"/>
        <v>23.602208333333333</v>
      </c>
      <c r="R162" s="1">
        <f t="shared" si="97"/>
        <v>-67094</v>
      </c>
      <c r="S162" s="2887"/>
      <c r="T162" s="537"/>
    </row>
    <row r="163" spans="1:20" s="493" customFormat="1" ht="12.75" customHeight="1" x14ac:dyDescent="0.2">
      <c r="A163" s="3097"/>
      <c r="B163" s="1271" t="s">
        <v>18</v>
      </c>
      <c r="C163" s="3027" t="s">
        <v>177</v>
      </c>
      <c r="D163" s="1700">
        <f t="shared" ref="D163:H163" si="107">+D164</f>
        <v>25200000</v>
      </c>
      <c r="E163" s="1714">
        <f t="shared" si="107"/>
        <v>0</v>
      </c>
      <c r="F163" s="1701">
        <f t="shared" si="107"/>
        <v>4700000</v>
      </c>
      <c r="G163" s="1701">
        <f t="shared" si="107"/>
        <v>4800000</v>
      </c>
      <c r="H163" s="1701">
        <f t="shared" si="107"/>
        <v>15700000</v>
      </c>
      <c r="I163" s="1700">
        <f t="shared" ref="I163:N163" si="108">+I164</f>
        <v>24943144</v>
      </c>
      <c r="J163" s="1714">
        <f t="shared" si="108"/>
        <v>0</v>
      </c>
      <c r="K163" s="1701">
        <f t="shared" si="108"/>
        <v>4443144</v>
      </c>
      <c r="L163" s="1701">
        <f t="shared" si="108"/>
        <v>4800000</v>
      </c>
      <c r="M163" s="1701">
        <f t="shared" si="108"/>
        <v>15700000</v>
      </c>
      <c r="N163" s="1700">
        <f t="shared" si="108"/>
        <v>5576050</v>
      </c>
      <c r="O163" s="2061">
        <f t="shared" si="88"/>
        <v>22.12718253968254</v>
      </c>
      <c r="P163" s="1701">
        <f>+P164</f>
        <v>1132906</v>
      </c>
      <c r="Q163" s="2061">
        <f t="shared" si="92"/>
        <v>23.602208333333333</v>
      </c>
      <c r="R163" s="2">
        <f t="shared" si="97"/>
        <v>-67094</v>
      </c>
      <c r="S163" s="2887"/>
      <c r="T163" s="537"/>
    </row>
    <row r="164" spans="1:20" s="493" customFormat="1" ht="12.75" customHeight="1" thickBot="1" x14ac:dyDescent="0.25">
      <c r="A164" s="3106"/>
      <c r="B164" s="1705" t="s">
        <v>5</v>
      </c>
      <c r="C164" s="3028"/>
      <c r="D164" s="1706">
        <f>+E164+F164+G164+H164</f>
        <v>25200000</v>
      </c>
      <c r="E164" s="1716">
        <v>0</v>
      </c>
      <c r="F164" s="1707">
        <v>4700000</v>
      </c>
      <c r="G164" s="1707">
        <v>4800000</v>
      </c>
      <c r="H164" s="1707">
        <f>20500000-4800000</f>
        <v>15700000</v>
      </c>
      <c r="I164" s="1706">
        <f>+J164+K164+L164+M164</f>
        <v>24943144</v>
      </c>
      <c r="J164" s="1716">
        <v>0</v>
      </c>
      <c r="K164" s="1707">
        <v>4443144</v>
      </c>
      <c r="L164" s="1707">
        <v>4800000</v>
      </c>
      <c r="M164" s="1707">
        <f>20500000-4800000</f>
        <v>15700000</v>
      </c>
      <c r="N164" s="1706">
        <f>+J164+K164+P164</f>
        <v>5576050</v>
      </c>
      <c r="O164" s="2062">
        <f t="shared" si="88"/>
        <v>22.12718253968254</v>
      </c>
      <c r="P164" s="1707">
        <v>1132906</v>
      </c>
      <c r="Q164" s="2062">
        <f t="shared" si="92"/>
        <v>23.602208333333333</v>
      </c>
      <c r="R164" s="3">
        <f t="shared" si="97"/>
        <v>-67094</v>
      </c>
      <c r="S164" s="2888"/>
      <c r="T164" s="537"/>
    </row>
    <row r="165" spans="1:20" s="493" customFormat="1" ht="15.75" customHeight="1" x14ac:dyDescent="0.2">
      <c r="A165" s="3096" t="s">
        <v>67</v>
      </c>
      <c r="B165" s="1972" t="s">
        <v>289</v>
      </c>
      <c r="C165" s="1687" t="s">
        <v>233</v>
      </c>
      <c r="D165" s="1688"/>
      <c r="E165" s="1689"/>
      <c r="F165" s="4"/>
      <c r="G165" s="4"/>
      <c r="H165" s="1690"/>
      <c r="I165" s="1688"/>
      <c r="J165" s="1689"/>
      <c r="K165" s="4"/>
      <c r="L165" s="4"/>
      <c r="M165" s="1690"/>
      <c r="N165" s="1688"/>
      <c r="O165" s="1691"/>
      <c r="P165" s="4"/>
      <c r="Q165" s="1691"/>
      <c r="R165" s="4"/>
      <c r="S165" s="3095" t="s">
        <v>385</v>
      </c>
      <c r="T165" s="537"/>
    </row>
    <row r="166" spans="1:20" s="493" customFormat="1" ht="15.75" customHeight="1" x14ac:dyDescent="0.2">
      <c r="A166" s="3097"/>
      <c r="B166" s="565" t="s">
        <v>3</v>
      </c>
      <c r="C166" s="1694"/>
      <c r="D166" s="1695">
        <f t="shared" ref="D166:P166" si="109">D167</f>
        <v>3922061</v>
      </c>
      <c r="E166" s="1711">
        <f t="shared" si="109"/>
        <v>0</v>
      </c>
      <c r="F166" s="1696">
        <f t="shared" si="109"/>
        <v>0</v>
      </c>
      <c r="G166" s="1696">
        <f t="shared" si="109"/>
        <v>944506</v>
      </c>
      <c r="H166" s="1696">
        <f t="shared" si="109"/>
        <v>2977555</v>
      </c>
      <c r="I166" s="1695">
        <f t="shared" si="109"/>
        <v>3922061</v>
      </c>
      <c r="J166" s="1711">
        <f t="shared" si="109"/>
        <v>0</v>
      </c>
      <c r="K166" s="1696">
        <f t="shared" si="109"/>
        <v>0</v>
      </c>
      <c r="L166" s="1696">
        <f t="shared" si="109"/>
        <v>944506</v>
      </c>
      <c r="M166" s="1696">
        <f t="shared" si="109"/>
        <v>2977555</v>
      </c>
      <c r="N166" s="1695">
        <f t="shared" si="109"/>
        <v>110500</v>
      </c>
      <c r="O166" s="2060">
        <f t="shared" si="88"/>
        <v>2.8173962618123478</v>
      </c>
      <c r="P166" s="1696">
        <f t="shared" si="109"/>
        <v>110500</v>
      </c>
      <c r="Q166" s="2060">
        <f t="shared" si="92"/>
        <v>11.699237484992155</v>
      </c>
      <c r="R166" s="1">
        <f t="shared" si="97"/>
        <v>-125626.5</v>
      </c>
      <c r="S166" s="2887"/>
      <c r="T166" s="537"/>
    </row>
    <row r="167" spans="1:20" s="493" customFormat="1" ht="12.75" customHeight="1" x14ac:dyDescent="0.2">
      <c r="A167" s="3097"/>
      <c r="B167" s="925" t="s">
        <v>18</v>
      </c>
      <c r="C167" s="3027" t="s">
        <v>177</v>
      </c>
      <c r="D167" s="1700">
        <f t="shared" ref="D167:H167" si="110">+D168</f>
        <v>3922061</v>
      </c>
      <c r="E167" s="1714">
        <f t="shared" si="110"/>
        <v>0</v>
      </c>
      <c r="F167" s="1701">
        <f t="shared" si="110"/>
        <v>0</v>
      </c>
      <c r="G167" s="1701">
        <f t="shared" si="110"/>
        <v>944506</v>
      </c>
      <c r="H167" s="1701">
        <f t="shared" si="110"/>
        <v>2977555</v>
      </c>
      <c r="I167" s="1700">
        <f t="shared" ref="I167:N167" si="111">+I168</f>
        <v>3922061</v>
      </c>
      <c r="J167" s="1714">
        <f t="shared" si="111"/>
        <v>0</v>
      </c>
      <c r="K167" s="1701">
        <f t="shared" si="111"/>
        <v>0</v>
      </c>
      <c r="L167" s="1701">
        <f t="shared" si="111"/>
        <v>944506</v>
      </c>
      <c r="M167" s="1701">
        <f t="shared" si="111"/>
        <v>2977555</v>
      </c>
      <c r="N167" s="1700">
        <f t="shared" si="111"/>
        <v>110500</v>
      </c>
      <c r="O167" s="2061">
        <f t="shared" si="88"/>
        <v>2.8173962618123478</v>
      </c>
      <c r="P167" s="1701">
        <f>+P168</f>
        <v>110500</v>
      </c>
      <c r="Q167" s="2061">
        <f t="shared" si="92"/>
        <v>11.699237484992155</v>
      </c>
      <c r="R167" s="2">
        <f t="shared" si="97"/>
        <v>-125626.5</v>
      </c>
      <c r="S167" s="2887"/>
      <c r="T167" s="537"/>
    </row>
    <row r="168" spans="1:20" s="493" customFormat="1" ht="15" customHeight="1" thickBot="1" x14ac:dyDescent="0.25">
      <c r="A168" s="3106"/>
      <c r="B168" s="2059" t="s">
        <v>5</v>
      </c>
      <c r="C168" s="3028"/>
      <c r="D168" s="1706">
        <f>+E168+F168+G168+H168</f>
        <v>3922061</v>
      </c>
      <c r="E168" s="1716">
        <v>0</v>
      </c>
      <c r="F168" s="1707">
        <v>0</v>
      </c>
      <c r="G168" s="1707">
        <v>944506</v>
      </c>
      <c r="H168" s="1707">
        <f>3922061-944506</f>
        <v>2977555</v>
      </c>
      <c r="I168" s="1706">
        <f>+J168+K168+L168+M168</f>
        <v>3922061</v>
      </c>
      <c r="J168" s="1716">
        <v>0</v>
      </c>
      <c r="K168" s="1707">
        <v>0</v>
      </c>
      <c r="L168" s="1707">
        <v>944506</v>
      </c>
      <c r="M168" s="1707">
        <f>3922061-944506</f>
        <v>2977555</v>
      </c>
      <c r="N168" s="1706">
        <f>+J168+K168+P168</f>
        <v>110500</v>
      </c>
      <c r="O168" s="2062">
        <f t="shared" si="88"/>
        <v>2.8173962618123478</v>
      </c>
      <c r="P168" s="1707">
        <v>110500</v>
      </c>
      <c r="Q168" s="2062">
        <f t="shared" si="92"/>
        <v>11.699237484992155</v>
      </c>
      <c r="R168" s="3">
        <f t="shared" si="97"/>
        <v>-125626.5</v>
      </c>
      <c r="S168" s="2888"/>
      <c r="T168" s="537"/>
    </row>
    <row r="169" spans="1:20" s="493" customFormat="1" ht="12.75" customHeight="1" x14ac:dyDescent="0.2">
      <c r="A169" s="3096" t="s">
        <v>69</v>
      </c>
      <c r="B169" s="1686" t="s">
        <v>290</v>
      </c>
      <c r="C169" s="1687" t="s">
        <v>233</v>
      </c>
      <c r="D169" s="1688"/>
      <c r="E169" s="1689"/>
      <c r="F169" s="4"/>
      <c r="G169" s="4"/>
      <c r="H169" s="1690"/>
      <c r="I169" s="1688"/>
      <c r="J169" s="1689"/>
      <c r="K169" s="4"/>
      <c r="L169" s="4"/>
      <c r="M169" s="1690"/>
      <c r="N169" s="1688"/>
      <c r="O169" s="1691"/>
      <c r="P169" s="4"/>
      <c r="Q169" s="1691"/>
      <c r="R169" s="4"/>
      <c r="S169" s="3089" t="s">
        <v>179</v>
      </c>
      <c r="T169" s="537"/>
    </row>
    <row r="170" spans="1:20" s="493" customFormat="1" ht="12.75" customHeight="1" x14ac:dyDescent="0.2">
      <c r="A170" s="3097"/>
      <c r="B170" s="879" t="s">
        <v>3</v>
      </c>
      <c r="C170" s="1694"/>
      <c r="D170" s="1695">
        <f t="shared" ref="D170:P170" si="112">D171</f>
        <v>809400</v>
      </c>
      <c r="E170" s="1711">
        <f t="shared" si="112"/>
        <v>0</v>
      </c>
      <c r="F170" s="1696">
        <f t="shared" si="112"/>
        <v>150000</v>
      </c>
      <c r="G170" s="1696">
        <f t="shared" si="112"/>
        <v>155000</v>
      </c>
      <c r="H170" s="1696">
        <f t="shared" si="112"/>
        <v>504400</v>
      </c>
      <c r="I170" s="1695">
        <f t="shared" si="112"/>
        <v>703260</v>
      </c>
      <c r="J170" s="1711">
        <f t="shared" si="112"/>
        <v>0</v>
      </c>
      <c r="K170" s="1696">
        <f t="shared" si="112"/>
        <v>43860</v>
      </c>
      <c r="L170" s="1696">
        <f t="shared" si="112"/>
        <v>155000</v>
      </c>
      <c r="M170" s="1696">
        <f t="shared" si="112"/>
        <v>504400</v>
      </c>
      <c r="N170" s="1695">
        <f t="shared" si="112"/>
        <v>53780</v>
      </c>
      <c r="O170" s="2060">
        <f t="shared" si="88"/>
        <v>6.6444279713367926</v>
      </c>
      <c r="P170" s="1696">
        <f t="shared" si="112"/>
        <v>9920</v>
      </c>
      <c r="Q170" s="2060">
        <f t="shared" si="92"/>
        <v>6.4</v>
      </c>
      <c r="R170" s="1">
        <f t="shared" si="97"/>
        <v>-28830</v>
      </c>
      <c r="S170" s="3090"/>
      <c r="T170" s="537"/>
    </row>
    <row r="171" spans="1:20" s="493" customFormat="1" ht="12.75" customHeight="1" x14ac:dyDescent="0.2">
      <c r="A171" s="3097"/>
      <c r="B171" s="1271" t="s">
        <v>18</v>
      </c>
      <c r="C171" s="3027" t="s">
        <v>177</v>
      </c>
      <c r="D171" s="1700">
        <f t="shared" ref="D171:H171" si="113">+D172</f>
        <v>809400</v>
      </c>
      <c r="E171" s="1714">
        <f t="shared" si="113"/>
        <v>0</v>
      </c>
      <c r="F171" s="1701">
        <f t="shared" si="113"/>
        <v>150000</v>
      </c>
      <c r="G171" s="1701">
        <f t="shared" si="113"/>
        <v>155000</v>
      </c>
      <c r="H171" s="1701">
        <f t="shared" si="113"/>
        <v>504400</v>
      </c>
      <c r="I171" s="1700">
        <f t="shared" ref="I171:N171" si="114">+I172</f>
        <v>703260</v>
      </c>
      <c r="J171" s="1714">
        <f t="shared" si="114"/>
        <v>0</v>
      </c>
      <c r="K171" s="1701">
        <f t="shared" si="114"/>
        <v>43860</v>
      </c>
      <c r="L171" s="1701">
        <f t="shared" si="114"/>
        <v>155000</v>
      </c>
      <c r="M171" s="1701">
        <f t="shared" si="114"/>
        <v>504400</v>
      </c>
      <c r="N171" s="1700">
        <f t="shared" si="114"/>
        <v>53780</v>
      </c>
      <c r="O171" s="2061">
        <f t="shared" si="88"/>
        <v>6.6444279713367926</v>
      </c>
      <c r="P171" s="1701">
        <f>+P172</f>
        <v>9920</v>
      </c>
      <c r="Q171" s="2061">
        <f t="shared" si="92"/>
        <v>6.4</v>
      </c>
      <c r="R171" s="2">
        <f t="shared" si="97"/>
        <v>-28830</v>
      </c>
      <c r="S171" s="3090"/>
      <c r="T171" s="537"/>
    </row>
    <row r="172" spans="1:20" s="493" customFormat="1" ht="12.75" customHeight="1" thickBot="1" x14ac:dyDescent="0.25">
      <c r="A172" s="3106"/>
      <c r="B172" s="1705" t="s">
        <v>5</v>
      </c>
      <c r="C172" s="3028"/>
      <c r="D172" s="1706">
        <f>+E172+F172+G172+H172</f>
        <v>809400</v>
      </c>
      <c r="E172" s="1716">
        <v>0</v>
      </c>
      <c r="F172" s="1707">
        <v>150000</v>
      </c>
      <c r="G172" s="1707">
        <v>155000</v>
      </c>
      <c r="H172" s="1707">
        <f>659400-155000</f>
        <v>504400</v>
      </c>
      <c r="I172" s="1706">
        <f>+J172+K172+L172+M172</f>
        <v>703260</v>
      </c>
      <c r="J172" s="1716">
        <v>0</v>
      </c>
      <c r="K172" s="1707">
        <v>43860</v>
      </c>
      <c r="L172" s="1707">
        <v>155000</v>
      </c>
      <c r="M172" s="1707">
        <f>659400-155000</f>
        <v>504400</v>
      </c>
      <c r="N172" s="1706">
        <f>+J172+K172+P172</f>
        <v>53780</v>
      </c>
      <c r="O172" s="2062">
        <f t="shared" si="88"/>
        <v>6.6444279713367926</v>
      </c>
      <c r="P172" s="1707">
        <v>9920</v>
      </c>
      <c r="Q172" s="2062">
        <f t="shared" si="92"/>
        <v>6.4</v>
      </c>
      <c r="R172" s="3">
        <f t="shared" si="97"/>
        <v>-28830</v>
      </c>
      <c r="S172" s="3091"/>
      <c r="T172" s="537"/>
    </row>
    <row r="173" spans="1:20" x14ac:dyDescent="0.2">
      <c r="E173" s="2064"/>
    </row>
    <row r="174" spans="1:20" x14ac:dyDescent="0.2">
      <c r="A174" s="1403"/>
      <c r="E174" s="2066"/>
      <c r="S174" s="1404"/>
    </row>
    <row r="175" spans="1:20" x14ac:dyDescent="0.2">
      <c r="A175" s="1403"/>
      <c r="E175" s="2066"/>
      <c r="G175" s="1950"/>
      <c r="H175" s="1950"/>
      <c r="S175" s="1404"/>
    </row>
    <row r="176" spans="1:20" x14ac:dyDescent="0.2">
      <c r="A176" s="1403"/>
      <c r="D176" s="1950"/>
      <c r="E176" s="2067"/>
      <c r="S176" s="1404"/>
    </row>
    <row r="177" spans="1:19" x14ac:dyDescent="0.2">
      <c r="A177" s="1403"/>
      <c r="E177" s="2064"/>
      <c r="N177" s="1950"/>
      <c r="O177" s="1950"/>
      <c r="P177" s="1950"/>
      <c r="Q177" s="1950"/>
      <c r="R177" s="1950"/>
      <c r="S177" s="1404"/>
    </row>
    <row r="178" spans="1:19" x14ac:dyDescent="0.2">
      <c r="A178" s="1403"/>
      <c r="E178" s="2066"/>
      <c r="F178" s="1950"/>
      <c r="J178" s="1950"/>
      <c r="K178" s="1950"/>
      <c r="L178" s="1950"/>
      <c r="M178" s="1950"/>
      <c r="N178" s="1950"/>
      <c r="O178" s="1950"/>
      <c r="P178" s="1950"/>
      <c r="Q178" s="1950"/>
      <c r="R178" s="1950"/>
      <c r="S178" s="1404"/>
    </row>
    <row r="179" spans="1:19" x14ac:dyDescent="0.2">
      <c r="A179" s="1403"/>
      <c r="E179" s="2066"/>
      <c r="S179" s="1404"/>
    </row>
    <row r="180" spans="1:19" x14ac:dyDescent="0.2">
      <c r="A180" s="1403"/>
      <c r="E180" s="2067"/>
      <c r="S180" s="1404"/>
    </row>
    <row r="181" spans="1:19" x14ac:dyDescent="0.2">
      <c r="A181" s="1403"/>
      <c r="E181" s="1727"/>
      <c r="S181" s="1404"/>
    </row>
    <row r="182" spans="1:19" x14ac:dyDescent="0.2">
      <c r="A182" s="1403"/>
      <c r="E182" s="2066"/>
      <c r="S182" s="1404"/>
    </row>
    <row r="183" spans="1:19" x14ac:dyDescent="0.2">
      <c r="A183" s="1403"/>
      <c r="E183" s="2066"/>
      <c r="S183" s="1404"/>
    </row>
    <row r="184" spans="1:19" x14ac:dyDescent="0.2">
      <c r="A184" s="1403"/>
      <c r="E184" s="2067"/>
      <c r="S184" s="1404"/>
    </row>
    <row r="185" spans="1:19" x14ac:dyDescent="0.2">
      <c r="A185" s="1403"/>
      <c r="E185" s="1727"/>
      <c r="S185" s="1404"/>
    </row>
    <row r="186" spans="1:19" x14ac:dyDescent="0.2">
      <c r="A186" s="1403"/>
      <c r="E186" s="2066"/>
      <c r="S186" s="1404"/>
    </row>
    <row r="187" spans="1:19" x14ac:dyDescent="0.2">
      <c r="A187" s="1403"/>
      <c r="E187" s="2066"/>
      <c r="S187" s="1404"/>
    </row>
    <row r="188" spans="1:19" x14ac:dyDescent="0.2">
      <c r="A188" s="1403"/>
      <c r="E188" s="2066"/>
      <c r="S188" s="1404"/>
    </row>
    <row r="189" spans="1:19" x14ac:dyDescent="0.2">
      <c r="A189" s="1403"/>
      <c r="E189" s="2068"/>
      <c r="S189" s="1404"/>
    </row>
    <row r="190" spans="1:19" x14ac:dyDescent="0.2">
      <c r="A190" s="1403"/>
      <c r="E190" s="2066"/>
      <c r="S190" s="1404"/>
    </row>
    <row r="191" spans="1:19" x14ac:dyDescent="0.2">
      <c r="A191" s="1403"/>
      <c r="E191" s="2067"/>
      <c r="S191" s="1404"/>
    </row>
    <row r="192" spans="1:19" x14ac:dyDescent="0.2">
      <c r="A192" s="1403"/>
      <c r="E192" s="2066"/>
      <c r="S192" s="1404"/>
    </row>
    <row r="193" spans="1:19" x14ac:dyDescent="0.2">
      <c r="A193" s="1403"/>
      <c r="E193" s="2069"/>
      <c r="S193" s="1404"/>
    </row>
    <row r="194" spans="1:19" x14ac:dyDescent="0.2">
      <c r="A194" s="1403"/>
      <c r="E194" s="2066"/>
      <c r="S194" s="1404"/>
    </row>
    <row r="195" spans="1:19" x14ac:dyDescent="0.2">
      <c r="A195" s="1403"/>
      <c r="E195" s="2064"/>
      <c r="S195" s="1404"/>
    </row>
    <row r="196" spans="1:19" x14ac:dyDescent="0.2">
      <c r="A196" s="1403"/>
      <c r="E196" s="2066"/>
      <c r="S196" s="1404"/>
    </row>
    <row r="197" spans="1:19" x14ac:dyDescent="0.2">
      <c r="A197" s="1403"/>
      <c r="E197" s="2066"/>
      <c r="S197" s="1404"/>
    </row>
    <row r="198" spans="1:19" x14ac:dyDescent="0.2">
      <c r="A198" s="1403"/>
      <c r="E198" s="2066"/>
      <c r="S198" s="1404"/>
    </row>
    <row r="199" spans="1:19" x14ac:dyDescent="0.2">
      <c r="A199" s="1403"/>
      <c r="E199" s="2064"/>
      <c r="S199" s="1404"/>
    </row>
    <row r="200" spans="1:19" x14ac:dyDescent="0.2">
      <c r="A200" s="1403"/>
      <c r="E200" s="2066"/>
      <c r="S200" s="1404"/>
    </row>
    <row r="201" spans="1:19" x14ac:dyDescent="0.2">
      <c r="A201" s="1403"/>
      <c r="E201" s="2066"/>
      <c r="S201" s="1404"/>
    </row>
    <row r="202" spans="1:19" x14ac:dyDescent="0.2">
      <c r="A202" s="1403"/>
      <c r="E202" s="2066"/>
      <c r="S202" s="1404"/>
    </row>
    <row r="203" spans="1:19" x14ac:dyDescent="0.2">
      <c r="A203" s="1403"/>
      <c r="E203" s="2064"/>
      <c r="S203" s="1404"/>
    </row>
    <row r="204" spans="1:19" x14ac:dyDescent="0.2">
      <c r="A204" s="1403"/>
      <c r="E204" s="2066"/>
      <c r="S204" s="1404"/>
    </row>
    <row r="205" spans="1:19" x14ac:dyDescent="0.2">
      <c r="A205" s="1403"/>
      <c r="E205" s="2066"/>
      <c r="S205" s="1404"/>
    </row>
    <row r="206" spans="1:19" x14ac:dyDescent="0.2">
      <c r="A206" s="1403"/>
      <c r="E206" s="2066"/>
    </row>
    <row r="207" spans="1:19" x14ac:dyDescent="0.2">
      <c r="A207" s="1403"/>
      <c r="E207" s="2064"/>
    </row>
    <row r="208" spans="1:19" x14ac:dyDescent="0.2">
      <c r="A208" s="1403"/>
      <c r="E208" s="2066"/>
    </row>
    <row r="209" spans="1:19" x14ac:dyDescent="0.2">
      <c r="A209" s="1403"/>
      <c r="E209" s="2066"/>
    </row>
    <row r="210" spans="1:19" x14ac:dyDescent="0.2">
      <c r="A210" s="1403"/>
      <c r="E210" s="2066"/>
    </row>
    <row r="211" spans="1:19" x14ac:dyDescent="0.2">
      <c r="A211" s="1403"/>
      <c r="E211" s="2064"/>
    </row>
    <row r="212" spans="1:19" x14ac:dyDescent="0.2">
      <c r="A212" s="1403"/>
      <c r="E212" s="2066"/>
    </row>
    <row r="213" spans="1:19" x14ac:dyDescent="0.2">
      <c r="A213" s="1403"/>
      <c r="E213" s="2066"/>
    </row>
    <row r="214" spans="1:19" x14ac:dyDescent="0.2">
      <c r="A214" s="1403"/>
      <c r="E214" s="2066"/>
    </row>
    <row r="215" spans="1:19" x14ac:dyDescent="0.2">
      <c r="A215" s="1403"/>
      <c r="E215" s="2064"/>
    </row>
    <row r="216" spans="1:19" x14ac:dyDescent="0.2">
      <c r="A216" s="1403"/>
      <c r="E216" s="2066"/>
    </row>
    <row r="217" spans="1:19" x14ac:dyDescent="0.2">
      <c r="A217" s="1403"/>
      <c r="E217" s="2066"/>
    </row>
    <row r="218" spans="1:19" x14ac:dyDescent="0.2">
      <c r="A218" s="1403"/>
      <c r="E218" s="2066"/>
      <c r="S218" s="2070"/>
    </row>
    <row r="219" spans="1:19" x14ac:dyDescent="0.2">
      <c r="A219" s="1403"/>
      <c r="E219" s="2064"/>
      <c r="S219" s="2070"/>
    </row>
    <row r="220" spans="1:19" x14ac:dyDescent="0.2">
      <c r="A220" s="1403"/>
      <c r="E220" s="2066"/>
      <c r="S220" s="2070"/>
    </row>
    <row r="221" spans="1:19" x14ac:dyDescent="0.2">
      <c r="A221" s="1403"/>
      <c r="E221" s="2066"/>
      <c r="S221" s="2070"/>
    </row>
    <row r="222" spans="1:19" x14ac:dyDescent="0.2">
      <c r="A222" s="1403"/>
      <c r="E222" s="2067"/>
      <c r="S222" s="2070"/>
    </row>
    <row r="223" spans="1:19" x14ac:dyDescent="0.2">
      <c r="A223" s="1403"/>
      <c r="E223" s="1727"/>
      <c r="S223" s="2070"/>
    </row>
    <row r="224" spans="1:19" x14ac:dyDescent="0.2">
      <c r="A224" s="1403"/>
      <c r="E224" s="2068"/>
      <c r="S224" s="2070"/>
    </row>
    <row r="225" spans="1:19" x14ac:dyDescent="0.2">
      <c r="A225" s="1403"/>
      <c r="E225" s="2068"/>
      <c r="S225" s="2070"/>
    </row>
    <row r="226" spans="1:19" x14ac:dyDescent="0.2">
      <c r="A226" s="1403"/>
      <c r="E226" s="1727"/>
      <c r="S226" s="2070"/>
    </row>
    <row r="227" spans="1:19" x14ac:dyDescent="0.2">
      <c r="A227" s="1403"/>
      <c r="E227" s="2068"/>
      <c r="S227" s="2071"/>
    </row>
    <row r="228" spans="1:19" x14ac:dyDescent="0.2">
      <c r="A228" s="1403"/>
      <c r="E228" s="1727"/>
      <c r="S228" s="2072"/>
    </row>
    <row r="229" spans="1:19" x14ac:dyDescent="0.2">
      <c r="A229" s="1403"/>
      <c r="E229" s="2066"/>
      <c r="S229" s="2070"/>
    </row>
    <row r="230" spans="1:19" x14ac:dyDescent="0.2">
      <c r="A230" s="1403"/>
      <c r="E230" s="1727"/>
      <c r="S230" s="2070"/>
    </row>
    <row r="231" spans="1:19" x14ac:dyDescent="0.2">
      <c r="A231" s="1403"/>
      <c r="E231" s="2069"/>
      <c r="S231" s="2070"/>
    </row>
    <row r="232" spans="1:19" ht="13.5" thickBot="1" x14ac:dyDescent="0.25">
      <c r="A232" s="1403"/>
      <c r="E232" s="1727"/>
      <c r="S232" s="2073"/>
    </row>
    <row r="233" spans="1:19" x14ac:dyDescent="0.2">
      <c r="A233" s="1403"/>
      <c r="E233" s="1727"/>
    </row>
    <row r="234" spans="1:19" x14ac:dyDescent="0.2">
      <c r="A234" s="1403"/>
      <c r="E234" s="2068"/>
    </row>
    <row r="235" spans="1:19" x14ac:dyDescent="0.2">
      <c r="A235" s="1403"/>
      <c r="E235" s="1727"/>
    </row>
    <row r="236" spans="1:19" x14ac:dyDescent="0.2">
      <c r="A236" s="1403"/>
      <c r="E236" s="2064"/>
    </row>
    <row r="237" spans="1:19" x14ac:dyDescent="0.2">
      <c r="A237" s="1403"/>
      <c r="E237" s="2068"/>
    </row>
    <row r="238" spans="1:19" x14ac:dyDescent="0.2">
      <c r="A238" s="1403"/>
      <c r="E238" s="1727"/>
      <c r="S238" s="1404"/>
    </row>
    <row r="239" spans="1:19" x14ac:dyDescent="0.2">
      <c r="A239" s="1403"/>
      <c r="E239" s="1727"/>
      <c r="S239" s="1404"/>
    </row>
    <row r="240" spans="1:19" x14ac:dyDescent="0.2">
      <c r="A240" s="1403"/>
      <c r="E240" s="2068"/>
      <c r="S240" s="1404"/>
    </row>
    <row r="241" spans="1:19" x14ac:dyDescent="0.2">
      <c r="A241" s="1403"/>
      <c r="E241" s="2068"/>
      <c r="S241" s="1404"/>
    </row>
    <row r="242" spans="1:19" x14ac:dyDescent="0.2">
      <c r="A242" s="1403"/>
      <c r="E242" s="2074"/>
      <c r="S242" s="1404"/>
    </row>
    <row r="243" spans="1:19" x14ac:dyDescent="0.2">
      <c r="A243" s="1403"/>
      <c r="E243" s="2068"/>
      <c r="S243" s="1404"/>
    </row>
    <row r="244" spans="1:19" x14ac:dyDescent="0.2">
      <c r="A244" s="1403"/>
      <c r="E244" s="1727"/>
      <c r="S244" s="1404"/>
    </row>
    <row r="245" spans="1:19" x14ac:dyDescent="0.2">
      <c r="A245" s="1403"/>
      <c r="E245" s="2064"/>
      <c r="S245" s="1404"/>
    </row>
    <row r="246" spans="1:19" x14ac:dyDescent="0.2">
      <c r="A246" s="1403"/>
      <c r="E246" s="2068"/>
      <c r="S246" s="1404"/>
    </row>
    <row r="247" spans="1:19" x14ac:dyDescent="0.2">
      <c r="A247" s="1403"/>
      <c r="E247" s="2068"/>
      <c r="S247" s="1404"/>
    </row>
    <row r="248" spans="1:19" x14ac:dyDescent="0.2">
      <c r="A248" s="1403"/>
      <c r="E248" s="2066"/>
      <c r="S248" s="1404"/>
    </row>
    <row r="249" spans="1:19" x14ac:dyDescent="0.2">
      <c r="A249" s="1403"/>
      <c r="E249" s="2075"/>
      <c r="S249" s="1404"/>
    </row>
    <row r="250" spans="1:19" x14ac:dyDescent="0.2">
      <c r="A250" s="1403"/>
      <c r="E250" s="1727"/>
      <c r="S250" s="1404"/>
    </row>
    <row r="251" spans="1:19" x14ac:dyDescent="0.2">
      <c r="A251" s="1403"/>
      <c r="E251" s="1727"/>
      <c r="S251" s="1404"/>
    </row>
    <row r="252" spans="1:19" x14ac:dyDescent="0.2">
      <c r="A252" s="1403"/>
      <c r="E252" s="2068"/>
      <c r="S252" s="1404"/>
    </row>
    <row r="253" spans="1:19" x14ac:dyDescent="0.2">
      <c r="A253" s="1403"/>
      <c r="E253" s="1406"/>
      <c r="S253" s="1404"/>
    </row>
    <row r="254" spans="1:19" x14ac:dyDescent="0.2">
      <c r="A254" s="1403"/>
      <c r="E254" s="1406"/>
      <c r="S254" s="1404"/>
    </row>
    <row r="255" spans="1:19" x14ac:dyDescent="0.2">
      <c r="A255" s="1403"/>
      <c r="E255" s="1406"/>
      <c r="S255" s="1404"/>
    </row>
    <row r="256" spans="1:19" x14ac:dyDescent="0.2">
      <c r="A256" s="1403"/>
      <c r="E256" s="1406"/>
      <c r="S256" s="1404"/>
    </row>
    <row r="257" spans="1:19" x14ac:dyDescent="0.2">
      <c r="A257" s="1403"/>
      <c r="E257" s="1406"/>
      <c r="S257" s="1404"/>
    </row>
    <row r="258" spans="1:19" x14ac:dyDescent="0.2">
      <c r="A258" s="1403"/>
      <c r="E258" s="1406"/>
      <c r="S258" s="1404"/>
    </row>
    <row r="259" spans="1:19" x14ac:dyDescent="0.2">
      <c r="A259" s="1403"/>
      <c r="E259" s="1406"/>
      <c r="S259" s="1404"/>
    </row>
    <row r="260" spans="1:19" x14ac:dyDescent="0.2">
      <c r="A260" s="1403"/>
      <c r="E260" s="1406"/>
      <c r="S260" s="1404"/>
    </row>
    <row r="261" spans="1:19" x14ac:dyDescent="0.2">
      <c r="A261" s="1403"/>
      <c r="E261" s="1406"/>
      <c r="S261" s="1404"/>
    </row>
    <row r="262" spans="1:19" x14ac:dyDescent="0.2">
      <c r="A262" s="1403"/>
      <c r="E262" s="1406"/>
      <c r="S262" s="1404"/>
    </row>
    <row r="263" spans="1:19" x14ac:dyDescent="0.2">
      <c r="A263" s="1403"/>
      <c r="E263" s="1406"/>
      <c r="S263" s="1404"/>
    </row>
    <row r="264" spans="1:19" x14ac:dyDescent="0.2">
      <c r="A264" s="1403"/>
      <c r="E264" s="1406"/>
      <c r="S264" s="1404"/>
    </row>
    <row r="265" spans="1:19" x14ac:dyDescent="0.2">
      <c r="A265" s="1403"/>
      <c r="E265" s="1406"/>
      <c r="S265" s="1404"/>
    </row>
    <row r="266" spans="1:19" x14ac:dyDescent="0.2">
      <c r="A266" s="1403"/>
      <c r="E266" s="1406"/>
      <c r="S266" s="1404"/>
    </row>
    <row r="267" spans="1:19" x14ac:dyDescent="0.2">
      <c r="A267" s="1403"/>
      <c r="E267" s="1406"/>
      <c r="S267" s="1404"/>
    </row>
    <row r="268" spans="1:19" x14ac:dyDescent="0.2">
      <c r="A268" s="1403"/>
      <c r="E268" s="1406"/>
      <c r="S268" s="1404"/>
    </row>
    <row r="269" spans="1:19" x14ac:dyDescent="0.2">
      <c r="A269" s="1403"/>
      <c r="E269" s="1406"/>
      <c r="S269" s="1404"/>
    </row>
    <row r="270" spans="1:19" x14ac:dyDescent="0.2">
      <c r="A270" s="1403"/>
      <c r="E270" s="1406"/>
      <c r="S270" s="1404"/>
    </row>
    <row r="271" spans="1:19" x14ac:dyDescent="0.2">
      <c r="A271" s="1403"/>
      <c r="E271" s="1406"/>
      <c r="S271" s="1404"/>
    </row>
    <row r="272" spans="1:19" x14ac:dyDescent="0.2">
      <c r="A272" s="1403"/>
      <c r="E272" s="1406"/>
      <c r="S272" s="1404"/>
    </row>
    <row r="273" spans="1:19" x14ac:dyDescent="0.2">
      <c r="A273" s="1403"/>
      <c r="E273" s="1406"/>
      <c r="S273" s="1404"/>
    </row>
    <row r="274" spans="1:19" x14ac:dyDescent="0.2">
      <c r="A274" s="1403"/>
      <c r="E274" s="1406"/>
      <c r="S274" s="1404"/>
    </row>
    <row r="275" spans="1:19" x14ac:dyDescent="0.2">
      <c r="A275" s="1403"/>
      <c r="E275" s="1406"/>
      <c r="S275" s="1404"/>
    </row>
    <row r="276" spans="1:19" x14ac:dyDescent="0.2">
      <c r="A276" s="1403"/>
      <c r="E276" s="1406"/>
      <c r="S276" s="1404"/>
    </row>
    <row r="277" spans="1:19" x14ac:dyDescent="0.2">
      <c r="A277" s="1403"/>
      <c r="E277" s="1406"/>
      <c r="S277" s="1404"/>
    </row>
    <row r="278" spans="1:19" x14ac:dyDescent="0.2">
      <c r="A278" s="1403"/>
      <c r="E278" s="1406"/>
      <c r="S278" s="1404"/>
    </row>
    <row r="279" spans="1:19" x14ac:dyDescent="0.2">
      <c r="A279" s="1403"/>
      <c r="E279" s="1406"/>
      <c r="S279" s="1404"/>
    </row>
    <row r="280" spans="1:19" x14ac:dyDescent="0.2">
      <c r="A280" s="1403"/>
      <c r="E280" s="1406"/>
      <c r="S280" s="1404"/>
    </row>
    <row r="281" spans="1:19" x14ac:dyDescent="0.2">
      <c r="A281" s="1403"/>
      <c r="E281" s="1406"/>
      <c r="S281" s="1404"/>
    </row>
    <row r="282" spans="1:19" x14ac:dyDescent="0.2">
      <c r="A282" s="1403"/>
      <c r="E282" s="1406"/>
      <c r="S282" s="1404"/>
    </row>
    <row r="283" spans="1:19" x14ac:dyDescent="0.2">
      <c r="A283" s="1403"/>
      <c r="E283" s="1406"/>
      <c r="S283" s="1404"/>
    </row>
    <row r="284" spans="1:19" x14ac:dyDescent="0.2">
      <c r="A284" s="1403"/>
      <c r="E284" s="1406"/>
      <c r="S284" s="1404"/>
    </row>
    <row r="285" spans="1:19" x14ac:dyDescent="0.2">
      <c r="A285" s="1403"/>
      <c r="E285" s="1406"/>
      <c r="S285" s="1404"/>
    </row>
    <row r="286" spans="1:19" x14ac:dyDescent="0.2">
      <c r="A286" s="1403"/>
      <c r="E286" s="1406"/>
      <c r="S286" s="1404"/>
    </row>
    <row r="287" spans="1:19" x14ac:dyDescent="0.2">
      <c r="A287" s="1403"/>
      <c r="E287" s="1406"/>
      <c r="S287" s="1404"/>
    </row>
    <row r="288" spans="1:19" x14ac:dyDescent="0.2">
      <c r="A288" s="1403"/>
      <c r="E288" s="1406"/>
      <c r="S288" s="1404"/>
    </row>
    <row r="289" spans="1:19" x14ac:dyDescent="0.2">
      <c r="A289" s="1403"/>
      <c r="E289" s="1406"/>
      <c r="S289" s="1404"/>
    </row>
    <row r="290" spans="1:19" x14ac:dyDescent="0.2">
      <c r="A290" s="1403"/>
      <c r="E290" s="1406"/>
      <c r="S290" s="1404"/>
    </row>
    <row r="291" spans="1:19" x14ac:dyDescent="0.2">
      <c r="A291" s="1403"/>
      <c r="E291" s="1406"/>
      <c r="S291" s="1404"/>
    </row>
    <row r="292" spans="1:19" x14ac:dyDescent="0.2">
      <c r="A292" s="1403"/>
      <c r="E292" s="1406"/>
      <c r="S292" s="1404"/>
    </row>
    <row r="293" spans="1:19" x14ac:dyDescent="0.2">
      <c r="A293" s="1403"/>
      <c r="E293" s="1406"/>
      <c r="S293" s="1404"/>
    </row>
    <row r="294" spans="1:19" x14ac:dyDescent="0.2">
      <c r="A294" s="1403"/>
      <c r="E294" s="1406"/>
      <c r="S294" s="1404"/>
    </row>
    <row r="295" spans="1:19" x14ac:dyDescent="0.2">
      <c r="A295" s="1403"/>
      <c r="E295" s="1406"/>
      <c r="S295" s="1404"/>
    </row>
    <row r="296" spans="1:19" x14ac:dyDescent="0.2">
      <c r="A296" s="1403"/>
      <c r="E296" s="1406"/>
      <c r="S296" s="1404"/>
    </row>
    <row r="297" spans="1:19" x14ac:dyDescent="0.2">
      <c r="A297" s="1403"/>
      <c r="E297" s="1406"/>
      <c r="S297" s="1404"/>
    </row>
    <row r="298" spans="1:19" x14ac:dyDescent="0.2">
      <c r="A298" s="1403"/>
      <c r="E298" s="1406"/>
      <c r="S298" s="1404"/>
    </row>
    <row r="299" spans="1:19" x14ac:dyDescent="0.2">
      <c r="A299" s="1403"/>
      <c r="E299" s="1406"/>
      <c r="S299" s="1404"/>
    </row>
    <row r="300" spans="1:19" x14ac:dyDescent="0.2">
      <c r="A300" s="1403"/>
      <c r="E300" s="1406"/>
      <c r="S300" s="1404"/>
    </row>
    <row r="301" spans="1:19" x14ac:dyDescent="0.2">
      <c r="A301" s="1403"/>
      <c r="E301" s="1406"/>
      <c r="S301" s="1404"/>
    </row>
    <row r="302" spans="1:19" x14ac:dyDescent="0.2">
      <c r="A302" s="1403"/>
      <c r="E302" s="1406"/>
      <c r="S302" s="1404"/>
    </row>
    <row r="303" spans="1:19" x14ac:dyDescent="0.2">
      <c r="A303" s="1403"/>
      <c r="E303" s="1406"/>
      <c r="S303" s="1404"/>
    </row>
    <row r="304" spans="1:19" x14ac:dyDescent="0.2">
      <c r="A304" s="1403"/>
      <c r="E304" s="1406"/>
      <c r="S304" s="1404"/>
    </row>
    <row r="305" spans="1:19" x14ac:dyDescent="0.2">
      <c r="A305" s="1403"/>
      <c r="E305" s="1406"/>
      <c r="S305" s="1404"/>
    </row>
    <row r="306" spans="1:19" x14ac:dyDescent="0.2">
      <c r="A306" s="1403"/>
      <c r="E306" s="1406"/>
      <c r="S306" s="1404"/>
    </row>
    <row r="307" spans="1:19" x14ac:dyDescent="0.2">
      <c r="A307" s="1403"/>
      <c r="E307" s="1406"/>
      <c r="S307" s="1404"/>
    </row>
    <row r="308" spans="1:19" x14ac:dyDescent="0.2">
      <c r="A308" s="1403"/>
      <c r="E308" s="1406"/>
      <c r="S308" s="1404"/>
    </row>
    <row r="309" spans="1:19" x14ac:dyDescent="0.2">
      <c r="A309" s="1403"/>
      <c r="E309" s="1406"/>
      <c r="S309" s="1404"/>
    </row>
    <row r="310" spans="1:19" x14ac:dyDescent="0.2">
      <c r="A310" s="1403"/>
      <c r="E310" s="1406"/>
      <c r="S310" s="1404"/>
    </row>
    <row r="311" spans="1:19" x14ac:dyDescent="0.2">
      <c r="A311" s="1403"/>
      <c r="E311" s="1406"/>
      <c r="S311" s="1404"/>
    </row>
    <row r="312" spans="1:19" x14ac:dyDescent="0.2">
      <c r="A312" s="1403"/>
      <c r="E312" s="1406"/>
      <c r="S312" s="1404"/>
    </row>
    <row r="313" spans="1:19" x14ac:dyDescent="0.2">
      <c r="A313" s="1403"/>
      <c r="E313" s="1406"/>
      <c r="S313" s="1404"/>
    </row>
    <row r="314" spans="1:19" x14ac:dyDescent="0.2">
      <c r="A314" s="1403"/>
      <c r="E314" s="1406"/>
      <c r="S314" s="1404"/>
    </row>
    <row r="315" spans="1:19" x14ac:dyDescent="0.2">
      <c r="A315" s="1403"/>
      <c r="E315" s="1406"/>
      <c r="S315" s="1404"/>
    </row>
    <row r="316" spans="1:19" x14ac:dyDescent="0.2">
      <c r="A316" s="1403"/>
      <c r="E316" s="1406"/>
      <c r="S316" s="1404"/>
    </row>
    <row r="317" spans="1:19" x14ac:dyDescent="0.2">
      <c r="A317" s="1403"/>
      <c r="E317" s="1406"/>
      <c r="S317" s="1404"/>
    </row>
    <row r="318" spans="1:19" x14ac:dyDescent="0.2">
      <c r="A318" s="1403"/>
      <c r="E318" s="1406"/>
      <c r="S318" s="1404"/>
    </row>
    <row r="319" spans="1:19" x14ac:dyDescent="0.2">
      <c r="A319" s="1403"/>
      <c r="E319" s="1406"/>
      <c r="S319" s="1404"/>
    </row>
    <row r="320" spans="1:19" x14ac:dyDescent="0.2">
      <c r="A320" s="1403"/>
      <c r="E320" s="1406"/>
      <c r="S320" s="1404"/>
    </row>
    <row r="321" spans="1:19" x14ac:dyDescent="0.2">
      <c r="A321" s="1403"/>
      <c r="E321" s="1406"/>
      <c r="S321" s="1404"/>
    </row>
    <row r="322" spans="1:19" x14ac:dyDescent="0.2">
      <c r="A322" s="1403"/>
      <c r="E322" s="1406"/>
      <c r="S322" s="1404"/>
    </row>
    <row r="323" spans="1:19" x14ac:dyDescent="0.2">
      <c r="A323" s="1403"/>
      <c r="E323" s="1406"/>
      <c r="S323" s="1404"/>
    </row>
    <row r="324" spans="1:19" x14ac:dyDescent="0.2">
      <c r="A324" s="1403"/>
      <c r="E324" s="1406"/>
      <c r="S324" s="1404"/>
    </row>
    <row r="325" spans="1:19" x14ac:dyDescent="0.2">
      <c r="A325" s="1403"/>
      <c r="E325" s="1406"/>
      <c r="S325" s="1404"/>
    </row>
    <row r="326" spans="1:19" x14ac:dyDescent="0.2">
      <c r="A326" s="1403"/>
      <c r="E326" s="1406"/>
      <c r="S326" s="1404"/>
    </row>
    <row r="327" spans="1:19" x14ac:dyDescent="0.2">
      <c r="A327" s="1403"/>
      <c r="E327" s="1406"/>
      <c r="S327" s="1404"/>
    </row>
    <row r="328" spans="1:19" x14ac:dyDescent="0.2">
      <c r="A328" s="1403"/>
      <c r="E328" s="1406"/>
      <c r="S328" s="1404"/>
    </row>
    <row r="329" spans="1:19" x14ac:dyDescent="0.2">
      <c r="A329" s="1403"/>
      <c r="E329" s="1406"/>
      <c r="S329" s="1404"/>
    </row>
    <row r="330" spans="1:19" x14ac:dyDescent="0.2">
      <c r="A330" s="1403"/>
      <c r="E330" s="1406"/>
      <c r="S330" s="1404"/>
    </row>
    <row r="331" spans="1:19" x14ac:dyDescent="0.2">
      <c r="A331" s="1403"/>
      <c r="E331" s="1406"/>
      <c r="S331" s="1404"/>
    </row>
    <row r="332" spans="1:19" x14ac:dyDescent="0.2">
      <c r="A332" s="1403"/>
      <c r="E332" s="1406"/>
      <c r="S332" s="1404"/>
    </row>
    <row r="333" spans="1:19" x14ac:dyDescent="0.2">
      <c r="A333" s="1403"/>
      <c r="E333" s="1406"/>
      <c r="S333" s="1404"/>
    </row>
    <row r="334" spans="1:19" x14ac:dyDescent="0.2">
      <c r="A334" s="1403"/>
      <c r="E334" s="1406"/>
      <c r="S334" s="1404"/>
    </row>
    <row r="335" spans="1:19" x14ac:dyDescent="0.2">
      <c r="A335" s="1403"/>
      <c r="E335" s="1406"/>
      <c r="S335" s="1404"/>
    </row>
    <row r="336" spans="1:19" x14ac:dyDescent="0.2">
      <c r="A336" s="1403"/>
      <c r="E336" s="1406"/>
      <c r="S336" s="1404"/>
    </row>
    <row r="337" spans="1:19" x14ac:dyDescent="0.2">
      <c r="A337" s="1403"/>
      <c r="E337" s="1406"/>
      <c r="S337" s="1404"/>
    </row>
    <row r="338" spans="1:19" x14ac:dyDescent="0.2">
      <c r="A338" s="1403"/>
      <c r="E338" s="1406"/>
      <c r="S338" s="1404"/>
    </row>
    <row r="339" spans="1:19" x14ac:dyDescent="0.2">
      <c r="A339" s="1403"/>
      <c r="E339" s="1406"/>
      <c r="S339" s="1404"/>
    </row>
    <row r="340" spans="1:19" x14ac:dyDescent="0.2">
      <c r="A340" s="1403"/>
      <c r="E340" s="1406"/>
      <c r="S340" s="1404"/>
    </row>
    <row r="341" spans="1:19" x14ac:dyDescent="0.2">
      <c r="A341" s="1403"/>
      <c r="E341" s="1406"/>
      <c r="S341" s="1404"/>
    </row>
    <row r="342" spans="1:19" x14ac:dyDescent="0.2">
      <c r="A342" s="1403"/>
      <c r="E342" s="1406"/>
      <c r="S342" s="1404"/>
    </row>
    <row r="343" spans="1:19" x14ac:dyDescent="0.2">
      <c r="A343" s="1403"/>
      <c r="E343" s="1406"/>
      <c r="S343" s="1404"/>
    </row>
    <row r="344" spans="1:19" x14ac:dyDescent="0.2">
      <c r="A344" s="1403"/>
      <c r="E344" s="1406"/>
      <c r="S344" s="1404"/>
    </row>
    <row r="345" spans="1:19" x14ac:dyDescent="0.2">
      <c r="A345" s="1403"/>
      <c r="E345" s="1406"/>
      <c r="S345" s="1404"/>
    </row>
    <row r="346" spans="1:19" x14ac:dyDescent="0.2">
      <c r="A346" s="1403"/>
      <c r="E346" s="1406"/>
      <c r="S346" s="1404"/>
    </row>
    <row r="347" spans="1:19" x14ac:dyDescent="0.2">
      <c r="A347" s="1403"/>
      <c r="E347" s="1406"/>
      <c r="S347" s="1404"/>
    </row>
    <row r="348" spans="1:19" x14ac:dyDescent="0.2">
      <c r="A348" s="1403"/>
      <c r="E348" s="1406"/>
      <c r="S348" s="1404"/>
    </row>
    <row r="349" spans="1:19" x14ac:dyDescent="0.2">
      <c r="A349" s="1403"/>
      <c r="E349" s="1406"/>
      <c r="S349" s="1404"/>
    </row>
    <row r="350" spans="1:19" x14ac:dyDescent="0.2">
      <c r="A350" s="1403"/>
      <c r="E350" s="1406"/>
      <c r="S350" s="1404"/>
    </row>
    <row r="351" spans="1:19" x14ac:dyDescent="0.2">
      <c r="A351" s="1403"/>
      <c r="E351" s="1406"/>
      <c r="S351" s="1404"/>
    </row>
    <row r="352" spans="1:19" x14ac:dyDescent="0.2">
      <c r="A352" s="1403"/>
      <c r="E352" s="1406"/>
      <c r="S352" s="1404"/>
    </row>
    <row r="353" spans="1:19" x14ac:dyDescent="0.2">
      <c r="A353" s="1403"/>
      <c r="E353" s="1406"/>
      <c r="S353" s="1404"/>
    </row>
    <row r="354" spans="1:19" x14ac:dyDescent="0.2">
      <c r="A354" s="1403"/>
      <c r="E354" s="1406"/>
      <c r="S354" s="1404"/>
    </row>
    <row r="355" spans="1:19" x14ac:dyDescent="0.2">
      <c r="A355" s="1403"/>
      <c r="E355" s="1406"/>
      <c r="S355" s="1404"/>
    </row>
    <row r="356" spans="1:19" x14ac:dyDescent="0.2">
      <c r="A356" s="1403"/>
      <c r="E356" s="1406"/>
      <c r="S356" s="1404"/>
    </row>
    <row r="357" spans="1:19" x14ac:dyDescent="0.2">
      <c r="A357" s="1403"/>
      <c r="E357" s="1406"/>
      <c r="S357" s="1404"/>
    </row>
    <row r="358" spans="1:19" x14ac:dyDescent="0.2">
      <c r="A358" s="1403"/>
      <c r="E358" s="1406"/>
      <c r="S358" s="1404"/>
    </row>
    <row r="359" spans="1:19" x14ac:dyDescent="0.2">
      <c r="A359" s="1403"/>
      <c r="E359" s="1406"/>
      <c r="S359" s="1404"/>
    </row>
    <row r="360" spans="1:19" x14ac:dyDescent="0.2">
      <c r="A360" s="1403"/>
      <c r="E360" s="1406"/>
      <c r="S360" s="1404"/>
    </row>
    <row r="361" spans="1:19" x14ac:dyDescent="0.2">
      <c r="A361" s="1403"/>
      <c r="E361" s="1406"/>
      <c r="S361" s="1404"/>
    </row>
    <row r="362" spans="1:19" x14ac:dyDescent="0.2">
      <c r="A362" s="1403"/>
      <c r="E362" s="1406"/>
      <c r="S362" s="1404"/>
    </row>
    <row r="363" spans="1:19" x14ac:dyDescent="0.2">
      <c r="A363" s="1403"/>
      <c r="E363" s="1406"/>
      <c r="S363" s="1404"/>
    </row>
    <row r="364" spans="1:19" x14ac:dyDescent="0.2">
      <c r="A364" s="1403"/>
      <c r="E364" s="1406"/>
      <c r="S364" s="1404"/>
    </row>
    <row r="365" spans="1:19" x14ac:dyDescent="0.2">
      <c r="A365" s="1403"/>
      <c r="E365" s="1406"/>
      <c r="S365" s="1404"/>
    </row>
    <row r="366" spans="1:19" x14ac:dyDescent="0.2">
      <c r="A366" s="1403"/>
      <c r="E366" s="1406"/>
      <c r="S366" s="1404"/>
    </row>
    <row r="367" spans="1:19" x14ac:dyDescent="0.2">
      <c r="A367" s="1403"/>
      <c r="E367" s="1406"/>
      <c r="S367" s="1404"/>
    </row>
    <row r="368" spans="1:19" x14ac:dyDescent="0.2">
      <c r="A368" s="1403"/>
      <c r="E368" s="1406"/>
      <c r="S368" s="1404"/>
    </row>
    <row r="369" spans="1:19" x14ac:dyDescent="0.2">
      <c r="A369" s="1403"/>
      <c r="E369" s="1406"/>
      <c r="S369" s="1404"/>
    </row>
    <row r="370" spans="1:19" x14ac:dyDescent="0.2">
      <c r="A370" s="1403"/>
      <c r="E370" s="1406"/>
      <c r="S370" s="1404"/>
    </row>
    <row r="371" spans="1:19" x14ac:dyDescent="0.2">
      <c r="A371" s="1403"/>
      <c r="E371" s="1406"/>
      <c r="S371" s="1404"/>
    </row>
    <row r="372" spans="1:19" x14ac:dyDescent="0.2">
      <c r="A372" s="1403"/>
      <c r="E372" s="1406"/>
      <c r="S372" s="1404"/>
    </row>
    <row r="373" spans="1:19" x14ac:dyDescent="0.2">
      <c r="A373" s="1403"/>
      <c r="E373" s="1406"/>
      <c r="S373" s="1404"/>
    </row>
    <row r="374" spans="1:19" x14ac:dyDescent="0.2">
      <c r="A374" s="1403"/>
      <c r="E374" s="1406"/>
      <c r="S374" s="1404"/>
    </row>
    <row r="375" spans="1:19" x14ac:dyDescent="0.2">
      <c r="A375" s="1403"/>
      <c r="E375" s="1406"/>
      <c r="S375" s="1404"/>
    </row>
    <row r="376" spans="1:19" x14ac:dyDescent="0.2">
      <c r="A376" s="1403"/>
      <c r="E376" s="1406"/>
      <c r="S376" s="1404"/>
    </row>
    <row r="377" spans="1:19" x14ac:dyDescent="0.2">
      <c r="A377" s="1403"/>
      <c r="E377" s="1406"/>
      <c r="S377" s="1404"/>
    </row>
    <row r="378" spans="1:19" x14ac:dyDescent="0.2">
      <c r="A378" s="1403"/>
      <c r="E378" s="1406"/>
      <c r="S378" s="1404"/>
    </row>
    <row r="379" spans="1:19" x14ac:dyDescent="0.2">
      <c r="A379" s="1403"/>
      <c r="E379" s="1406"/>
      <c r="S379" s="1404"/>
    </row>
    <row r="380" spans="1:19" x14ac:dyDescent="0.2">
      <c r="A380" s="1403"/>
      <c r="E380" s="1406"/>
      <c r="S380" s="1404"/>
    </row>
    <row r="381" spans="1:19" x14ac:dyDescent="0.2">
      <c r="A381" s="1403"/>
      <c r="E381" s="1406"/>
      <c r="S381" s="1404"/>
    </row>
    <row r="382" spans="1:19" x14ac:dyDescent="0.2">
      <c r="A382" s="1403"/>
      <c r="E382" s="1406"/>
      <c r="S382" s="1404"/>
    </row>
    <row r="383" spans="1:19" x14ac:dyDescent="0.2">
      <c r="A383" s="1403"/>
      <c r="E383" s="1406"/>
      <c r="S383" s="1404"/>
    </row>
    <row r="384" spans="1:19" x14ac:dyDescent="0.2">
      <c r="A384" s="1403"/>
      <c r="E384" s="1406"/>
      <c r="S384" s="1404"/>
    </row>
    <row r="385" spans="1:19" x14ac:dyDescent="0.2">
      <c r="A385" s="1403"/>
      <c r="E385" s="1406"/>
      <c r="S385" s="1404"/>
    </row>
    <row r="386" spans="1:19" x14ac:dyDescent="0.2">
      <c r="A386" s="1403"/>
      <c r="E386" s="1406"/>
      <c r="S386" s="1404"/>
    </row>
    <row r="387" spans="1:19" x14ac:dyDescent="0.2">
      <c r="A387" s="1403"/>
      <c r="E387" s="1406"/>
      <c r="S387" s="1404"/>
    </row>
    <row r="388" spans="1:19" x14ac:dyDescent="0.2">
      <c r="A388" s="1403"/>
      <c r="E388" s="1406"/>
      <c r="S388" s="1404"/>
    </row>
    <row r="389" spans="1:19" x14ac:dyDescent="0.2">
      <c r="A389" s="1403"/>
      <c r="E389" s="1406"/>
      <c r="S389" s="1404"/>
    </row>
    <row r="390" spans="1:19" x14ac:dyDescent="0.2">
      <c r="A390" s="1403"/>
      <c r="E390" s="1406"/>
      <c r="S390" s="1404"/>
    </row>
    <row r="391" spans="1:19" x14ac:dyDescent="0.2">
      <c r="A391" s="1403"/>
      <c r="E391" s="1406"/>
      <c r="S391" s="1404"/>
    </row>
    <row r="392" spans="1:19" x14ac:dyDescent="0.2">
      <c r="A392" s="1403"/>
      <c r="E392" s="1406"/>
      <c r="S392" s="1404"/>
    </row>
    <row r="393" spans="1:19" x14ac:dyDescent="0.2">
      <c r="A393" s="1403"/>
      <c r="E393" s="1406"/>
      <c r="S393" s="1404"/>
    </row>
    <row r="394" spans="1:19" x14ac:dyDescent="0.2">
      <c r="A394" s="1403"/>
      <c r="E394" s="1406"/>
      <c r="S394" s="1404"/>
    </row>
    <row r="395" spans="1:19" x14ac:dyDescent="0.2">
      <c r="A395" s="1403"/>
      <c r="E395" s="1406"/>
      <c r="S395" s="1404"/>
    </row>
    <row r="396" spans="1:19" x14ac:dyDescent="0.2">
      <c r="A396" s="1403"/>
      <c r="E396" s="1406"/>
      <c r="S396" s="1404"/>
    </row>
    <row r="397" spans="1:19" x14ac:dyDescent="0.2">
      <c r="A397" s="1403"/>
      <c r="E397" s="1406"/>
      <c r="S397" s="1404"/>
    </row>
    <row r="398" spans="1:19" x14ac:dyDescent="0.2">
      <c r="A398" s="1403"/>
      <c r="E398" s="1406"/>
      <c r="S398" s="1404"/>
    </row>
    <row r="399" spans="1:19" x14ac:dyDescent="0.2">
      <c r="A399" s="1403"/>
      <c r="E399" s="1406"/>
      <c r="S399" s="1404"/>
    </row>
    <row r="400" spans="1:19" x14ac:dyDescent="0.2">
      <c r="A400" s="1403"/>
      <c r="E400" s="1406"/>
      <c r="S400" s="1404"/>
    </row>
    <row r="401" spans="1:19" x14ac:dyDescent="0.2">
      <c r="A401" s="1403"/>
      <c r="E401" s="1406"/>
      <c r="S401" s="1404"/>
    </row>
    <row r="402" spans="1:19" x14ac:dyDescent="0.2">
      <c r="A402" s="1403"/>
      <c r="E402" s="1406"/>
      <c r="S402" s="1404"/>
    </row>
    <row r="403" spans="1:19" x14ac:dyDescent="0.2">
      <c r="A403" s="1403"/>
      <c r="E403" s="1406"/>
      <c r="S403" s="1404"/>
    </row>
    <row r="404" spans="1:19" x14ac:dyDescent="0.2">
      <c r="A404" s="1403"/>
      <c r="E404" s="1406"/>
      <c r="S404" s="1404"/>
    </row>
    <row r="405" spans="1:19" x14ac:dyDescent="0.2">
      <c r="A405" s="1403"/>
      <c r="E405" s="1406"/>
      <c r="S405" s="1404"/>
    </row>
    <row r="406" spans="1:19" x14ac:dyDescent="0.2">
      <c r="A406" s="1403"/>
      <c r="E406" s="1406"/>
      <c r="S406" s="1404"/>
    </row>
    <row r="407" spans="1:19" x14ac:dyDescent="0.2">
      <c r="A407" s="1403"/>
      <c r="E407" s="1406"/>
      <c r="S407" s="1404"/>
    </row>
    <row r="408" spans="1:19" x14ac:dyDescent="0.2">
      <c r="A408" s="1403"/>
      <c r="E408" s="1406"/>
      <c r="S408" s="1404"/>
    </row>
    <row r="409" spans="1:19" x14ac:dyDescent="0.2">
      <c r="A409" s="1403"/>
      <c r="E409" s="1406"/>
      <c r="S409" s="1404"/>
    </row>
    <row r="410" spans="1:19" x14ac:dyDescent="0.2">
      <c r="A410" s="1403"/>
      <c r="E410" s="1406"/>
      <c r="S410" s="1404"/>
    </row>
    <row r="411" spans="1:19" x14ac:dyDescent="0.2">
      <c r="A411" s="1403"/>
      <c r="E411" s="1406"/>
      <c r="S411" s="1404"/>
    </row>
    <row r="412" spans="1:19" x14ac:dyDescent="0.2">
      <c r="A412" s="1403"/>
      <c r="E412" s="1406"/>
      <c r="S412" s="1404"/>
    </row>
    <row r="413" spans="1:19" x14ac:dyDescent="0.2">
      <c r="A413" s="1403"/>
      <c r="E413" s="1406"/>
      <c r="S413" s="1404"/>
    </row>
    <row r="414" spans="1:19" x14ac:dyDescent="0.2">
      <c r="A414" s="1403"/>
      <c r="E414" s="1406"/>
      <c r="S414" s="1404"/>
    </row>
    <row r="415" spans="1:19" x14ac:dyDescent="0.2">
      <c r="A415" s="1403"/>
      <c r="E415" s="1406"/>
      <c r="S415" s="1404"/>
    </row>
    <row r="416" spans="1:19" x14ac:dyDescent="0.2">
      <c r="A416" s="1403"/>
      <c r="E416" s="1406"/>
      <c r="S416" s="1404"/>
    </row>
    <row r="417" spans="1:19" x14ac:dyDescent="0.2">
      <c r="A417" s="1403"/>
      <c r="E417" s="1406"/>
      <c r="S417" s="1404"/>
    </row>
    <row r="418" spans="1:19" x14ac:dyDescent="0.2">
      <c r="A418" s="1403"/>
      <c r="E418" s="1406"/>
      <c r="S418" s="1404"/>
    </row>
    <row r="419" spans="1:19" x14ac:dyDescent="0.2">
      <c r="A419" s="1403"/>
      <c r="E419" s="1406"/>
      <c r="S419" s="1404"/>
    </row>
    <row r="420" spans="1:19" x14ac:dyDescent="0.2">
      <c r="A420" s="1403"/>
      <c r="E420" s="1406"/>
      <c r="S420" s="1404"/>
    </row>
    <row r="421" spans="1:19" x14ac:dyDescent="0.2">
      <c r="A421" s="1403"/>
      <c r="E421" s="1406"/>
      <c r="S421" s="1404"/>
    </row>
    <row r="422" spans="1:19" x14ac:dyDescent="0.2">
      <c r="A422" s="1403"/>
      <c r="E422" s="1406"/>
      <c r="S422" s="1404"/>
    </row>
    <row r="423" spans="1:19" x14ac:dyDescent="0.2">
      <c r="A423" s="1403"/>
      <c r="E423" s="1406"/>
      <c r="S423" s="1404"/>
    </row>
    <row r="424" spans="1:19" x14ac:dyDescent="0.2">
      <c r="A424" s="1403"/>
      <c r="E424" s="1406"/>
      <c r="S424" s="1404"/>
    </row>
    <row r="425" spans="1:19" x14ac:dyDescent="0.2">
      <c r="A425" s="1403"/>
      <c r="E425" s="1406"/>
      <c r="S425" s="1404"/>
    </row>
    <row r="426" spans="1:19" x14ac:dyDescent="0.2">
      <c r="A426" s="1403"/>
      <c r="E426" s="1406"/>
      <c r="S426" s="1404"/>
    </row>
    <row r="427" spans="1:19" x14ac:dyDescent="0.2">
      <c r="A427" s="1403"/>
      <c r="E427" s="1406"/>
      <c r="S427" s="1404"/>
    </row>
    <row r="428" spans="1:19" x14ac:dyDescent="0.2">
      <c r="A428" s="1403"/>
      <c r="E428" s="1406"/>
      <c r="S428" s="1404"/>
    </row>
    <row r="429" spans="1:19" x14ac:dyDescent="0.2">
      <c r="A429" s="1403"/>
      <c r="E429" s="1406"/>
      <c r="S429" s="1404"/>
    </row>
    <row r="430" spans="1:19" x14ac:dyDescent="0.2">
      <c r="A430" s="1403"/>
      <c r="E430" s="1406"/>
      <c r="S430" s="1404"/>
    </row>
    <row r="431" spans="1:19" x14ac:dyDescent="0.2">
      <c r="A431" s="1403"/>
      <c r="E431" s="1406"/>
      <c r="S431" s="1404"/>
    </row>
    <row r="432" spans="1:19" x14ac:dyDescent="0.2">
      <c r="A432" s="1403"/>
      <c r="E432" s="1406"/>
      <c r="S432" s="1404"/>
    </row>
    <row r="433" spans="1:19" x14ac:dyDescent="0.2">
      <c r="A433" s="1403"/>
      <c r="E433" s="1406"/>
      <c r="S433" s="1404"/>
    </row>
    <row r="434" spans="1:19" x14ac:dyDescent="0.2">
      <c r="A434" s="1403"/>
      <c r="E434" s="1406"/>
      <c r="S434" s="1404"/>
    </row>
    <row r="435" spans="1:19" x14ac:dyDescent="0.2">
      <c r="A435" s="1403"/>
      <c r="E435" s="1406"/>
      <c r="S435" s="1404"/>
    </row>
    <row r="436" spans="1:19" x14ac:dyDescent="0.2">
      <c r="A436" s="1403"/>
      <c r="E436" s="1406"/>
      <c r="S436" s="1404"/>
    </row>
    <row r="437" spans="1:19" x14ac:dyDescent="0.2">
      <c r="A437" s="1403"/>
      <c r="E437" s="1406"/>
      <c r="S437" s="1404"/>
    </row>
    <row r="438" spans="1:19" x14ac:dyDescent="0.2">
      <c r="A438" s="1403"/>
      <c r="E438" s="1406"/>
      <c r="S438" s="1404"/>
    </row>
    <row r="439" spans="1:19" x14ac:dyDescent="0.2">
      <c r="A439" s="1403"/>
      <c r="E439" s="1406"/>
      <c r="S439" s="1404"/>
    </row>
    <row r="440" spans="1:19" x14ac:dyDescent="0.2">
      <c r="A440" s="1403"/>
      <c r="E440" s="1406"/>
      <c r="S440" s="1404"/>
    </row>
    <row r="441" spans="1:19" x14ac:dyDescent="0.2">
      <c r="A441" s="1403"/>
      <c r="E441" s="1406"/>
      <c r="S441" s="1404"/>
    </row>
    <row r="442" spans="1:19" x14ac:dyDescent="0.2">
      <c r="A442" s="1403"/>
      <c r="E442" s="1406"/>
      <c r="S442" s="1404"/>
    </row>
    <row r="443" spans="1:19" x14ac:dyDescent="0.2">
      <c r="A443" s="1403"/>
      <c r="E443" s="1406"/>
      <c r="S443" s="1404"/>
    </row>
    <row r="444" spans="1:19" x14ac:dyDescent="0.2">
      <c r="A444" s="1403"/>
      <c r="E444" s="1406"/>
      <c r="S444" s="1404"/>
    </row>
    <row r="445" spans="1:19" x14ac:dyDescent="0.2">
      <c r="A445" s="1403"/>
      <c r="E445" s="1406"/>
      <c r="S445" s="1404"/>
    </row>
    <row r="446" spans="1:19" x14ac:dyDescent="0.2">
      <c r="A446" s="1403"/>
      <c r="E446" s="1406"/>
      <c r="S446" s="1404"/>
    </row>
    <row r="447" spans="1:19" x14ac:dyDescent="0.2">
      <c r="A447" s="1403"/>
      <c r="E447" s="1406"/>
      <c r="S447" s="1404"/>
    </row>
    <row r="448" spans="1:19" x14ac:dyDescent="0.2">
      <c r="A448" s="1403"/>
      <c r="E448" s="1406"/>
      <c r="S448" s="1404"/>
    </row>
    <row r="449" spans="1:19" x14ac:dyDescent="0.2">
      <c r="A449" s="1403"/>
      <c r="E449" s="1406"/>
      <c r="S449" s="1404"/>
    </row>
    <row r="450" spans="1:19" x14ac:dyDescent="0.2">
      <c r="A450" s="1403"/>
      <c r="E450" s="1406"/>
      <c r="S450" s="1404"/>
    </row>
    <row r="451" spans="1:19" x14ac:dyDescent="0.2">
      <c r="A451" s="1403"/>
      <c r="E451" s="1406"/>
      <c r="S451" s="1404"/>
    </row>
    <row r="452" spans="1:19" x14ac:dyDescent="0.2">
      <c r="A452" s="1403"/>
      <c r="E452" s="1406"/>
      <c r="S452" s="1404"/>
    </row>
    <row r="453" spans="1:19" x14ac:dyDescent="0.2">
      <c r="A453" s="1403"/>
      <c r="E453" s="1406"/>
      <c r="S453" s="1404"/>
    </row>
    <row r="454" spans="1:19" x14ac:dyDescent="0.2">
      <c r="A454" s="1403"/>
      <c r="E454" s="1406"/>
      <c r="S454" s="1404"/>
    </row>
    <row r="455" spans="1:19" x14ac:dyDescent="0.2">
      <c r="A455" s="1403"/>
      <c r="E455" s="1406"/>
      <c r="S455" s="1404"/>
    </row>
    <row r="456" spans="1:19" x14ac:dyDescent="0.2">
      <c r="A456" s="1403"/>
      <c r="E456" s="1406"/>
      <c r="S456" s="1404"/>
    </row>
    <row r="457" spans="1:19" x14ac:dyDescent="0.2">
      <c r="A457" s="1403"/>
      <c r="E457" s="1406"/>
      <c r="S457" s="1404"/>
    </row>
    <row r="458" spans="1:19" x14ac:dyDescent="0.2">
      <c r="A458" s="1403"/>
      <c r="E458" s="1406"/>
      <c r="S458" s="1404"/>
    </row>
    <row r="459" spans="1:19" x14ac:dyDescent="0.2">
      <c r="A459" s="1403"/>
      <c r="E459" s="1406"/>
      <c r="S459" s="1404"/>
    </row>
    <row r="460" spans="1:19" x14ac:dyDescent="0.2">
      <c r="A460" s="1403"/>
      <c r="E460" s="1406"/>
      <c r="S460" s="1404"/>
    </row>
    <row r="461" spans="1:19" x14ac:dyDescent="0.2">
      <c r="A461" s="1403"/>
      <c r="E461" s="1406"/>
      <c r="S461" s="1404"/>
    </row>
    <row r="462" spans="1:19" x14ac:dyDescent="0.2">
      <c r="A462" s="1403"/>
      <c r="E462" s="1406"/>
      <c r="S462" s="1404"/>
    </row>
    <row r="463" spans="1:19" x14ac:dyDescent="0.2">
      <c r="A463" s="1403"/>
      <c r="E463" s="1406"/>
      <c r="S463" s="1404"/>
    </row>
    <row r="464" spans="1:19" x14ac:dyDescent="0.2">
      <c r="A464" s="1403"/>
      <c r="E464" s="1406"/>
      <c r="S464" s="1404"/>
    </row>
    <row r="465" spans="1:19" x14ac:dyDescent="0.2">
      <c r="A465" s="1403"/>
      <c r="E465" s="1406"/>
      <c r="S465" s="1404"/>
    </row>
    <row r="466" spans="1:19" x14ac:dyDescent="0.2">
      <c r="A466" s="1403"/>
      <c r="E466" s="1406"/>
      <c r="S466" s="1404"/>
    </row>
    <row r="467" spans="1:19" x14ac:dyDescent="0.2">
      <c r="A467" s="1403"/>
      <c r="E467" s="1406"/>
      <c r="S467" s="1404"/>
    </row>
    <row r="468" spans="1:19" x14ac:dyDescent="0.2">
      <c r="A468" s="1403"/>
      <c r="E468" s="1406"/>
      <c r="S468" s="1404"/>
    </row>
    <row r="469" spans="1:19" x14ac:dyDescent="0.2">
      <c r="A469" s="1403"/>
      <c r="E469" s="1406"/>
      <c r="S469" s="1404"/>
    </row>
    <row r="470" spans="1:19" x14ac:dyDescent="0.2">
      <c r="A470" s="1403"/>
      <c r="E470" s="1406"/>
      <c r="S470" s="1404"/>
    </row>
    <row r="471" spans="1:19" x14ac:dyDescent="0.2">
      <c r="A471" s="1403"/>
      <c r="E471" s="1406"/>
      <c r="S471" s="1404"/>
    </row>
    <row r="472" spans="1:19" x14ac:dyDescent="0.2">
      <c r="A472" s="1403"/>
      <c r="E472" s="1406"/>
      <c r="S472" s="1404"/>
    </row>
    <row r="473" spans="1:19" x14ac:dyDescent="0.2">
      <c r="A473" s="1403"/>
      <c r="E473" s="1406"/>
      <c r="S473" s="1404"/>
    </row>
    <row r="474" spans="1:19" x14ac:dyDescent="0.2">
      <c r="A474" s="1403"/>
      <c r="E474" s="1406"/>
      <c r="S474" s="1404"/>
    </row>
    <row r="475" spans="1:19" x14ac:dyDescent="0.2">
      <c r="A475" s="1403"/>
      <c r="E475" s="1406"/>
      <c r="S475" s="1404"/>
    </row>
    <row r="476" spans="1:19" x14ac:dyDescent="0.2">
      <c r="A476" s="1403"/>
      <c r="E476" s="1406"/>
      <c r="S476" s="1404"/>
    </row>
    <row r="477" spans="1:19" x14ac:dyDescent="0.2">
      <c r="A477" s="1403"/>
      <c r="E477" s="1406"/>
      <c r="S477" s="1404"/>
    </row>
    <row r="478" spans="1:19" x14ac:dyDescent="0.2">
      <c r="A478" s="1403"/>
      <c r="E478" s="1406"/>
      <c r="S478" s="1404"/>
    </row>
    <row r="479" spans="1:19" x14ac:dyDescent="0.2">
      <c r="A479" s="1403"/>
      <c r="E479" s="1406"/>
      <c r="S479" s="1404"/>
    </row>
    <row r="480" spans="1:19" x14ac:dyDescent="0.2">
      <c r="A480" s="1403"/>
      <c r="E480" s="1406"/>
      <c r="S480" s="1404"/>
    </row>
    <row r="481" spans="1:19" x14ac:dyDescent="0.2">
      <c r="A481" s="1403"/>
      <c r="E481" s="1406"/>
      <c r="S481" s="1404"/>
    </row>
    <row r="482" spans="1:19" x14ac:dyDescent="0.2">
      <c r="A482" s="1403"/>
      <c r="E482" s="1406"/>
      <c r="S482" s="1404"/>
    </row>
    <row r="483" spans="1:19" x14ac:dyDescent="0.2">
      <c r="A483" s="1403"/>
      <c r="E483" s="1406"/>
      <c r="S483" s="1404"/>
    </row>
    <row r="484" spans="1:19" x14ac:dyDescent="0.2">
      <c r="A484" s="1403"/>
      <c r="E484" s="1406"/>
      <c r="S484" s="1404"/>
    </row>
    <row r="485" spans="1:19" x14ac:dyDescent="0.2">
      <c r="A485" s="1403"/>
      <c r="E485" s="1406"/>
      <c r="S485" s="1404"/>
    </row>
    <row r="486" spans="1:19" x14ac:dyDescent="0.2">
      <c r="A486" s="1403"/>
      <c r="E486" s="1406"/>
      <c r="S486" s="1404"/>
    </row>
    <row r="487" spans="1:19" x14ac:dyDescent="0.2">
      <c r="A487" s="1403"/>
      <c r="E487" s="1406"/>
      <c r="S487" s="1404"/>
    </row>
    <row r="488" spans="1:19" x14ac:dyDescent="0.2">
      <c r="A488" s="1403"/>
      <c r="E488" s="1406"/>
      <c r="S488" s="1404"/>
    </row>
    <row r="489" spans="1:19" x14ac:dyDescent="0.2">
      <c r="A489" s="1403"/>
      <c r="E489" s="1406"/>
      <c r="S489" s="1404"/>
    </row>
    <row r="490" spans="1:19" x14ac:dyDescent="0.2">
      <c r="A490" s="1403"/>
      <c r="E490" s="1406"/>
      <c r="S490" s="1404"/>
    </row>
    <row r="491" spans="1:19" x14ac:dyDescent="0.2">
      <c r="A491" s="1403"/>
      <c r="E491" s="1406"/>
      <c r="S491" s="1404"/>
    </row>
    <row r="492" spans="1:19" x14ac:dyDescent="0.2">
      <c r="A492" s="1403"/>
      <c r="E492" s="1406"/>
      <c r="S492" s="1404"/>
    </row>
    <row r="493" spans="1:19" x14ac:dyDescent="0.2">
      <c r="A493" s="1403"/>
      <c r="E493" s="1406"/>
      <c r="S493" s="1404"/>
    </row>
    <row r="494" spans="1:19" x14ac:dyDescent="0.2">
      <c r="A494" s="1403"/>
      <c r="E494" s="1406"/>
      <c r="S494" s="1404"/>
    </row>
    <row r="495" spans="1:19" x14ac:dyDescent="0.2">
      <c r="A495" s="1403"/>
      <c r="E495" s="1406"/>
      <c r="S495" s="1404"/>
    </row>
    <row r="496" spans="1:19" x14ac:dyDescent="0.2">
      <c r="A496" s="1403"/>
      <c r="E496" s="1406"/>
      <c r="S496" s="1404"/>
    </row>
    <row r="497" spans="1:19" x14ac:dyDescent="0.2">
      <c r="A497" s="1403"/>
      <c r="E497" s="1406"/>
      <c r="S497" s="1404"/>
    </row>
    <row r="498" spans="1:19" x14ac:dyDescent="0.2">
      <c r="A498" s="1403"/>
      <c r="E498" s="1406"/>
      <c r="S498" s="1404"/>
    </row>
    <row r="499" spans="1:19" x14ac:dyDescent="0.2">
      <c r="A499" s="1403"/>
      <c r="E499" s="1406"/>
      <c r="S499" s="1404"/>
    </row>
    <row r="500" spans="1:19" x14ac:dyDescent="0.2">
      <c r="A500" s="1403"/>
      <c r="E500" s="1406"/>
      <c r="S500" s="1404"/>
    </row>
    <row r="501" spans="1:19" x14ac:dyDescent="0.2">
      <c r="A501" s="1403"/>
      <c r="E501" s="1406"/>
      <c r="S501" s="1404"/>
    </row>
    <row r="502" spans="1:19" x14ac:dyDescent="0.2">
      <c r="A502" s="1403"/>
      <c r="E502" s="1406"/>
      <c r="S502" s="1404"/>
    </row>
    <row r="503" spans="1:19" x14ac:dyDescent="0.2">
      <c r="A503" s="1403"/>
      <c r="E503" s="1406"/>
      <c r="S503" s="1404"/>
    </row>
    <row r="504" spans="1:19" x14ac:dyDescent="0.2">
      <c r="A504" s="1403"/>
      <c r="E504" s="1406"/>
      <c r="S504" s="1404"/>
    </row>
    <row r="505" spans="1:19" x14ac:dyDescent="0.2">
      <c r="A505" s="1403"/>
      <c r="E505" s="1406"/>
      <c r="S505" s="1404"/>
    </row>
    <row r="506" spans="1:19" x14ac:dyDescent="0.2">
      <c r="A506" s="1403"/>
      <c r="E506" s="1406"/>
      <c r="S506" s="1404"/>
    </row>
    <row r="507" spans="1:19" x14ac:dyDescent="0.2">
      <c r="A507" s="1403"/>
      <c r="E507" s="1406"/>
      <c r="S507" s="1404"/>
    </row>
    <row r="508" spans="1:19" x14ac:dyDescent="0.2">
      <c r="A508" s="1403"/>
      <c r="E508" s="1406"/>
      <c r="S508" s="1404"/>
    </row>
    <row r="509" spans="1:19" x14ac:dyDescent="0.2">
      <c r="A509" s="1403"/>
      <c r="E509" s="1406"/>
      <c r="S509" s="1404"/>
    </row>
    <row r="510" spans="1:19" x14ac:dyDescent="0.2">
      <c r="A510" s="1403"/>
      <c r="E510" s="1406"/>
      <c r="S510" s="1404"/>
    </row>
    <row r="511" spans="1:19" x14ac:dyDescent="0.2">
      <c r="A511" s="1403"/>
      <c r="E511" s="1406"/>
      <c r="S511" s="1404"/>
    </row>
    <row r="512" spans="1:19" x14ac:dyDescent="0.2">
      <c r="A512" s="1403"/>
      <c r="E512" s="1406"/>
      <c r="S512" s="1404"/>
    </row>
    <row r="513" spans="1:19" x14ac:dyDescent="0.2">
      <c r="A513" s="1403"/>
      <c r="E513" s="1406"/>
      <c r="S513" s="1404"/>
    </row>
    <row r="514" spans="1:19" x14ac:dyDescent="0.2">
      <c r="A514" s="1403"/>
      <c r="E514" s="1406"/>
      <c r="S514" s="1404"/>
    </row>
    <row r="515" spans="1:19" x14ac:dyDescent="0.2">
      <c r="A515" s="1403"/>
      <c r="E515" s="1406"/>
      <c r="S515" s="1404"/>
    </row>
    <row r="516" spans="1:19" x14ac:dyDescent="0.2">
      <c r="A516" s="1403"/>
      <c r="E516" s="1406"/>
      <c r="S516" s="1404"/>
    </row>
    <row r="517" spans="1:19" x14ac:dyDescent="0.2">
      <c r="A517" s="1403"/>
      <c r="E517" s="1406"/>
      <c r="S517" s="1404"/>
    </row>
    <row r="518" spans="1:19" x14ac:dyDescent="0.2">
      <c r="A518" s="1403"/>
      <c r="E518" s="1406"/>
      <c r="S518" s="1404"/>
    </row>
    <row r="519" spans="1:19" x14ac:dyDescent="0.2">
      <c r="A519" s="1403"/>
      <c r="E519" s="1406"/>
      <c r="S519" s="1404"/>
    </row>
    <row r="520" spans="1:19" x14ac:dyDescent="0.2">
      <c r="A520" s="1403"/>
      <c r="E520" s="1406"/>
      <c r="S520" s="1404"/>
    </row>
    <row r="521" spans="1:19" x14ac:dyDescent="0.2">
      <c r="A521" s="1403"/>
      <c r="E521" s="1406"/>
      <c r="S521" s="1404"/>
    </row>
    <row r="522" spans="1:19" x14ac:dyDescent="0.2">
      <c r="A522" s="1403"/>
      <c r="E522" s="1406"/>
      <c r="S522" s="1404"/>
    </row>
    <row r="523" spans="1:19" x14ac:dyDescent="0.2">
      <c r="A523" s="1403"/>
      <c r="E523" s="1406"/>
      <c r="S523" s="1404"/>
    </row>
    <row r="524" spans="1:19" x14ac:dyDescent="0.2">
      <c r="A524" s="1403"/>
      <c r="E524" s="1406"/>
      <c r="S524" s="1404"/>
    </row>
    <row r="525" spans="1:19" x14ac:dyDescent="0.2">
      <c r="A525" s="1403"/>
      <c r="E525" s="1406"/>
      <c r="S525" s="1404"/>
    </row>
    <row r="526" spans="1:19" x14ac:dyDescent="0.2">
      <c r="E526" s="1406"/>
    </row>
    <row r="527" spans="1:19" x14ac:dyDescent="0.2">
      <c r="E527" s="1406"/>
    </row>
    <row r="528" spans="1:19" x14ac:dyDescent="0.2">
      <c r="E528" s="1406"/>
    </row>
    <row r="529" spans="1:19" x14ac:dyDescent="0.2">
      <c r="E529" s="1406"/>
    </row>
    <row r="530" spans="1:19" x14ac:dyDescent="0.2">
      <c r="E530" s="1406"/>
    </row>
    <row r="531" spans="1:19" x14ac:dyDescent="0.2">
      <c r="E531" s="1406"/>
    </row>
    <row r="532" spans="1:19" x14ac:dyDescent="0.2">
      <c r="E532" s="1406"/>
    </row>
    <row r="533" spans="1:19" ht="13.5" thickBot="1" x14ac:dyDescent="0.25">
      <c r="E533" s="1406"/>
    </row>
    <row r="534" spans="1:19" ht="45" x14ac:dyDescent="0.2">
      <c r="A534" s="1736"/>
      <c r="B534" s="481" t="s">
        <v>30</v>
      </c>
      <c r="C534" s="481"/>
      <c r="D534" s="1737"/>
      <c r="E534" s="2076"/>
      <c r="F534" s="1737"/>
      <c r="G534" s="1737"/>
      <c r="H534" s="1737"/>
      <c r="I534" s="1737"/>
      <c r="J534" s="1737"/>
      <c r="K534" s="1737"/>
      <c r="L534" s="1737"/>
      <c r="M534" s="1737"/>
      <c r="N534" s="1737"/>
      <c r="O534" s="1737"/>
      <c r="P534" s="1737"/>
      <c r="Q534" s="1737"/>
      <c r="R534" s="1737"/>
      <c r="S534" s="2077"/>
    </row>
    <row r="535" spans="1:19" x14ac:dyDescent="0.2">
      <c r="A535" s="1739"/>
      <c r="B535" s="1405"/>
      <c r="C535" s="1407"/>
      <c r="D535" s="1405"/>
      <c r="E535" s="1406"/>
      <c r="F535" s="1405"/>
      <c r="G535" s="1405"/>
      <c r="H535" s="1405"/>
      <c r="I535" s="1405"/>
      <c r="J535" s="1405"/>
      <c r="K535" s="1405"/>
      <c r="L535" s="1405"/>
      <c r="M535" s="1405"/>
      <c r="N535" s="1405"/>
      <c r="O535" s="1405"/>
      <c r="P535" s="1405"/>
      <c r="Q535" s="1405"/>
      <c r="R535" s="1405"/>
      <c r="S535" s="2078"/>
    </row>
    <row r="536" spans="1:19" x14ac:dyDescent="0.2">
      <c r="A536" s="1739"/>
      <c r="B536" s="1405"/>
      <c r="C536" s="1407"/>
      <c r="D536" s="1405"/>
      <c r="E536" s="1406"/>
      <c r="F536" s="1405"/>
      <c r="G536" s="1405"/>
      <c r="H536" s="1405"/>
      <c r="I536" s="1405"/>
      <c r="J536" s="1405"/>
      <c r="K536" s="1405"/>
      <c r="L536" s="1405"/>
      <c r="M536" s="1405"/>
      <c r="N536" s="1405"/>
      <c r="O536" s="1405"/>
      <c r="P536" s="1405"/>
      <c r="Q536" s="1405"/>
      <c r="R536" s="1405"/>
      <c r="S536" s="2078"/>
    </row>
    <row r="537" spans="1:19" x14ac:dyDescent="0.2">
      <c r="A537" s="1739"/>
      <c r="B537" s="1405"/>
      <c r="C537" s="1407"/>
      <c r="D537" s="1405"/>
      <c r="E537" s="1406"/>
      <c r="F537" s="1405"/>
      <c r="G537" s="1405"/>
      <c r="H537" s="1405"/>
      <c r="I537" s="1405"/>
      <c r="J537" s="1405"/>
      <c r="K537" s="1405"/>
      <c r="L537" s="1405"/>
      <c r="M537" s="1405"/>
      <c r="N537" s="1405"/>
      <c r="O537" s="1405"/>
      <c r="P537" s="1405"/>
      <c r="Q537" s="1405"/>
      <c r="R537" s="1405"/>
      <c r="S537" s="2078"/>
    </row>
    <row r="538" spans="1:19" x14ac:dyDescent="0.2">
      <c r="A538" s="1739"/>
      <c r="B538" s="1405"/>
      <c r="C538" s="1407"/>
      <c r="D538" s="1405"/>
      <c r="E538" s="1406"/>
      <c r="F538" s="1405"/>
      <c r="G538" s="1405"/>
      <c r="H538" s="1405"/>
      <c r="I538" s="1405"/>
      <c r="J538" s="1405"/>
      <c r="K538" s="1405"/>
      <c r="L538" s="1405"/>
      <c r="M538" s="1405"/>
      <c r="N538" s="1405"/>
      <c r="O538" s="1405"/>
      <c r="P538" s="1405"/>
      <c r="Q538" s="1405"/>
      <c r="R538" s="1405"/>
      <c r="S538" s="2078"/>
    </row>
    <row r="539" spans="1:19" x14ac:dyDescent="0.2">
      <c r="A539" s="1739"/>
      <c r="B539" s="1405"/>
      <c r="C539" s="1407"/>
      <c r="D539" s="1405"/>
      <c r="E539" s="1406"/>
      <c r="F539" s="1405"/>
      <c r="G539" s="1405"/>
      <c r="H539" s="1405"/>
      <c r="I539" s="1405"/>
      <c r="J539" s="1405"/>
      <c r="K539" s="1405"/>
      <c r="L539" s="1405"/>
      <c r="M539" s="1405"/>
      <c r="N539" s="1405"/>
      <c r="O539" s="1405"/>
      <c r="P539" s="1405"/>
      <c r="Q539" s="1405"/>
      <c r="R539" s="1405"/>
      <c r="S539" s="2078"/>
    </row>
    <row r="540" spans="1:19" x14ac:dyDescent="0.2">
      <c r="A540" s="1739"/>
      <c r="B540" s="1405"/>
      <c r="C540" s="1407"/>
      <c r="D540" s="1405"/>
      <c r="E540" s="1406"/>
      <c r="F540" s="1405"/>
      <c r="G540" s="1405"/>
      <c r="H540" s="1405"/>
      <c r="I540" s="1405"/>
      <c r="J540" s="1405"/>
      <c r="K540" s="1405"/>
      <c r="L540" s="1405"/>
      <c r="M540" s="1405"/>
      <c r="N540" s="1405"/>
      <c r="O540" s="1405"/>
      <c r="P540" s="1405"/>
      <c r="Q540" s="1405"/>
      <c r="R540" s="1405"/>
      <c r="S540" s="2078"/>
    </row>
    <row r="541" spans="1:19" x14ac:dyDescent="0.2">
      <c r="A541" s="1739"/>
      <c r="B541" s="1405"/>
      <c r="C541" s="1407"/>
      <c r="D541" s="1405"/>
      <c r="E541" s="1406"/>
      <c r="F541" s="1405"/>
      <c r="G541" s="1405"/>
      <c r="H541" s="1405"/>
      <c r="I541" s="1405"/>
      <c r="J541" s="1405"/>
      <c r="K541" s="1405"/>
      <c r="L541" s="1405"/>
      <c r="M541" s="1405"/>
      <c r="N541" s="1405"/>
      <c r="O541" s="1405"/>
      <c r="P541" s="1405"/>
      <c r="Q541" s="1405"/>
      <c r="R541" s="1405"/>
      <c r="S541" s="2078"/>
    </row>
    <row r="542" spans="1:19" x14ac:dyDescent="0.2">
      <c r="A542" s="1739"/>
      <c r="B542" s="1405"/>
      <c r="C542" s="1407"/>
      <c r="D542" s="1405"/>
      <c r="E542" s="1406"/>
      <c r="F542" s="1405"/>
      <c r="G542" s="1405"/>
      <c r="H542" s="1405"/>
      <c r="I542" s="1405"/>
      <c r="J542" s="1405"/>
      <c r="K542" s="1405"/>
      <c r="L542" s="1405"/>
      <c r="M542" s="1405"/>
      <c r="N542" s="1405"/>
      <c r="O542" s="1405"/>
      <c r="P542" s="1405"/>
      <c r="Q542" s="1405"/>
      <c r="R542" s="1405"/>
      <c r="S542" s="2078"/>
    </row>
    <row r="543" spans="1:19" x14ac:dyDescent="0.2">
      <c r="A543" s="1739"/>
      <c r="B543" s="1405"/>
      <c r="C543" s="1407"/>
      <c r="D543" s="1405"/>
      <c r="E543" s="1406"/>
      <c r="F543" s="1405"/>
      <c r="G543" s="1405"/>
      <c r="H543" s="1405"/>
      <c r="I543" s="1405"/>
      <c r="J543" s="1405"/>
      <c r="K543" s="1405"/>
      <c r="L543" s="1405"/>
      <c r="M543" s="1405"/>
      <c r="N543" s="1405"/>
      <c r="O543" s="1405"/>
      <c r="P543" s="1405"/>
      <c r="Q543" s="1405"/>
      <c r="R543" s="1405"/>
      <c r="S543" s="2078"/>
    </row>
    <row r="544" spans="1:19" x14ac:dyDescent="0.2">
      <c r="A544" s="1739"/>
      <c r="B544" s="1405"/>
      <c r="C544" s="1407"/>
      <c r="D544" s="1405"/>
      <c r="E544" s="1406"/>
      <c r="F544" s="1405"/>
      <c r="G544" s="1405"/>
      <c r="H544" s="1405"/>
      <c r="I544" s="1405"/>
      <c r="J544" s="1405"/>
      <c r="K544" s="1405"/>
      <c r="L544" s="1405"/>
      <c r="M544" s="1405"/>
      <c r="N544" s="1405"/>
      <c r="O544" s="1405"/>
      <c r="P544" s="1405"/>
      <c r="Q544" s="1405"/>
      <c r="R544" s="1405"/>
      <c r="S544" s="2078"/>
    </row>
    <row r="545" spans="1:19" ht="13.5" thickBot="1" x14ac:dyDescent="0.25">
      <c r="A545" s="1741"/>
      <c r="B545" s="1742"/>
      <c r="C545" s="1743"/>
      <c r="D545" s="1742"/>
      <c r="E545" s="2079"/>
      <c r="F545" s="1742"/>
      <c r="G545" s="1742"/>
      <c r="H545" s="1742"/>
      <c r="I545" s="1742"/>
      <c r="J545" s="1742"/>
      <c r="K545" s="1742"/>
      <c r="L545" s="1742"/>
      <c r="M545" s="1742"/>
      <c r="N545" s="1742"/>
      <c r="O545" s="1742"/>
      <c r="P545" s="1742"/>
      <c r="Q545" s="1742"/>
      <c r="R545" s="1742"/>
      <c r="S545" s="2080"/>
    </row>
    <row r="546" spans="1:19" x14ac:dyDescent="0.2">
      <c r="E546" s="1406"/>
    </row>
    <row r="547" spans="1:19" x14ac:dyDescent="0.2">
      <c r="E547" s="1406"/>
    </row>
    <row r="548" spans="1:19" x14ac:dyDescent="0.2">
      <c r="E548" s="1406"/>
    </row>
    <row r="549" spans="1:19" x14ac:dyDescent="0.2">
      <c r="E549" s="1406"/>
    </row>
    <row r="550" spans="1:19" x14ac:dyDescent="0.2">
      <c r="E550" s="1406"/>
    </row>
    <row r="551" spans="1:19" x14ac:dyDescent="0.2">
      <c r="E551" s="1406"/>
    </row>
    <row r="552" spans="1:19" x14ac:dyDescent="0.2">
      <c r="E552" s="1406"/>
    </row>
    <row r="553" spans="1:19" x14ac:dyDescent="0.2">
      <c r="E553" s="1406"/>
    </row>
    <row r="554" spans="1:19" x14ac:dyDescent="0.2">
      <c r="E554" s="1406"/>
    </row>
    <row r="555" spans="1:19" x14ac:dyDescent="0.2">
      <c r="E555" s="1406"/>
    </row>
    <row r="556" spans="1:19" x14ac:dyDescent="0.2">
      <c r="E556" s="1406"/>
    </row>
    <row r="557" spans="1:19" x14ac:dyDescent="0.2">
      <c r="E557" s="1406"/>
    </row>
    <row r="558" spans="1:19" x14ac:dyDescent="0.2">
      <c r="A558" s="1403"/>
      <c r="E558" s="1406"/>
      <c r="S558" s="1404"/>
    </row>
    <row r="559" spans="1:19" x14ac:dyDescent="0.2">
      <c r="A559" s="1403"/>
      <c r="E559" s="1406"/>
      <c r="S559" s="1404"/>
    </row>
    <row r="560" spans="1:19" x14ac:dyDescent="0.2">
      <c r="A560" s="1403"/>
      <c r="E560" s="1406"/>
      <c r="S560" s="1404"/>
    </row>
    <row r="561" spans="1:19" x14ac:dyDescent="0.2">
      <c r="A561" s="1403"/>
      <c r="E561" s="1406"/>
      <c r="S561" s="1404"/>
    </row>
    <row r="562" spans="1:19" x14ac:dyDescent="0.2">
      <c r="A562" s="1403"/>
      <c r="E562" s="1406"/>
      <c r="S562" s="1404"/>
    </row>
    <row r="563" spans="1:19" x14ac:dyDescent="0.2">
      <c r="A563" s="1403"/>
      <c r="E563" s="1406"/>
      <c r="S563" s="1404"/>
    </row>
    <row r="564" spans="1:19" x14ac:dyDescent="0.2">
      <c r="A564" s="1403"/>
      <c r="E564" s="1406"/>
      <c r="S564" s="1404"/>
    </row>
    <row r="565" spans="1:19" x14ac:dyDescent="0.2">
      <c r="A565" s="1403"/>
      <c r="E565" s="1406"/>
      <c r="S565" s="1404"/>
    </row>
    <row r="566" spans="1:19" x14ac:dyDescent="0.2">
      <c r="A566" s="1403"/>
      <c r="E566" s="1406"/>
      <c r="S566" s="1404"/>
    </row>
    <row r="567" spans="1:19" x14ac:dyDescent="0.2">
      <c r="A567" s="1403"/>
      <c r="E567" s="1406"/>
      <c r="S567" s="1404"/>
    </row>
    <row r="568" spans="1:19" x14ac:dyDescent="0.2">
      <c r="A568" s="1403"/>
      <c r="E568" s="1406"/>
      <c r="S568" s="1404"/>
    </row>
    <row r="569" spans="1:19" x14ac:dyDescent="0.2">
      <c r="A569" s="1403"/>
      <c r="E569" s="1406"/>
      <c r="S569" s="1404"/>
    </row>
    <row r="570" spans="1:19" x14ac:dyDescent="0.2">
      <c r="A570" s="1403"/>
      <c r="E570" s="1406"/>
      <c r="S570" s="1404"/>
    </row>
    <row r="571" spans="1:19" x14ac:dyDescent="0.2">
      <c r="A571" s="1403"/>
      <c r="E571" s="1406"/>
      <c r="S571" s="1404"/>
    </row>
    <row r="572" spans="1:19" x14ac:dyDescent="0.2">
      <c r="A572" s="1403"/>
      <c r="E572" s="1406"/>
      <c r="S572" s="1404"/>
    </row>
    <row r="573" spans="1:19" x14ac:dyDescent="0.2">
      <c r="A573" s="1403"/>
      <c r="E573" s="1406"/>
      <c r="S573" s="1404"/>
    </row>
    <row r="574" spans="1:19" x14ac:dyDescent="0.2">
      <c r="A574" s="1403"/>
      <c r="E574" s="1406"/>
      <c r="S574" s="1404"/>
    </row>
    <row r="575" spans="1:19" x14ac:dyDescent="0.2">
      <c r="A575" s="1403"/>
      <c r="E575" s="1406"/>
      <c r="S575" s="1404"/>
    </row>
    <row r="576" spans="1:19" x14ac:dyDescent="0.2">
      <c r="A576" s="1403"/>
      <c r="E576" s="1406"/>
      <c r="S576" s="1404"/>
    </row>
    <row r="577" spans="1:19" x14ac:dyDescent="0.2">
      <c r="A577" s="1403"/>
      <c r="E577" s="1406"/>
      <c r="S577" s="1404"/>
    </row>
    <row r="578" spans="1:19" x14ac:dyDescent="0.2">
      <c r="A578" s="1403"/>
      <c r="E578" s="1406"/>
      <c r="S578" s="1404"/>
    </row>
    <row r="579" spans="1:19" x14ac:dyDescent="0.2">
      <c r="A579" s="1403"/>
      <c r="E579" s="1406"/>
      <c r="S579" s="1404"/>
    </row>
    <row r="580" spans="1:19" x14ac:dyDescent="0.2">
      <c r="A580" s="1403"/>
      <c r="E580" s="1406"/>
      <c r="S580" s="1404"/>
    </row>
    <row r="581" spans="1:19" x14ac:dyDescent="0.2">
      <c r="A581" s="1403"/>
      <c r="E581" s="1406"/>
      <c r="S581" s="1404"/>
    </row>
    <row r="582" spans="1:19" x14ac:dyDescent="0.2">
      <c r="A582" s="1403"/>
      <c r="E582" s="1406"/>
      <c r="S582" s="1404"/>
    </row>
    <row r="583" spans="1:19" x14ac:dyDescent="0.2">
      <c r="A583" s="1403"/>
      <c r="E583" s="1406"/>
      <c r="S583" s="1404"/>
    </row>
    <row r="584" spans="1:19" x14ac:dyDescent="0.2">
      <c r="A584" s="1403"/>
      <c r="E584" s="1406"/>
      <c r="S584" s="1404"/>
    </row>
    <row r="585" spans="1:19" x14ac:dyDescent="0.2">
      <c r="A585" s="1403"/>
      <c r="E585" s="1406"/>
      <c r="S585" s="1404"/>
    </row>
    <row r="586" spans="1:19" x14ac:dyDescent="0.2">
      <c r="A586" s="1403"/>
      <c r="E586" s="1406"/>
      <c r="S586" s="1404"/>
    </row>
    <row r="587" spans="1:19" x14ac:dyDescent="0.2">
      <c r="A587" s="1403"/>
      <c r="E587" s="1406"/>
      <c r="S587" s="1404"/>
    </row>
    <row r="588" spans="1:19" x14ac:dyDescent="0.2">
      <c r="A588" s="1403"/>
      <c r="E588" s="1406"/>
      <c r="S588" s="1404"/>
    </row>
    <row r="589" spans="1:19" x14ac:dyDescent="0.2">
      <c r="A589" s="1403"/>
      <c r="E589" s="1406"/>
      <c r="S589" s="1404"/>
    </row>
    <row r="590" spans="1:19" x14ac:dyDescent="0.2">
      <c r="A590" s="1403"/>
      <c r="E590" s="1406"/>
      <c r="S590" s="1404"/>
    </row>
    <row r="591" spans="1:19" x14ac:dyDescent="0.2">
      <c r="A591" s="1403"/>
      <c r="E591" s="1406"/>
      <c r="S591" s="1404"/>
    </row>
    <row r="592" spans="1:19" x14ac:dyDescent="0.2">
      <c r="A592" s="1403"/>
      <c r="E592" s="1406"/>
      <c r="S592" s="1404"/>
    </row>
    <row r="593" spans="1:19" x14ac:dyDescent="0.2">
      <c r="A593" s="1403"/>
      <c r="E593" s="1406"/>
      <c r="S593" s="1404"/>
    </row>
    <row r="594" spans="1:19" x14ac:dyDescent="0.2">
      <c r="A594" s="1403"/>
      <c r="E594" s="1406"/>
      <c r="S594" s="1404"/>
    </row>
    <row r="595" spans="1:19" x14ac:dyDescent="0.2">
      <c r="A595" s="1403"/>
      <c r="E595" s="1406"/>
      <c r="S595" s="1404"/>
    </row>
    <row r="596" spans="1:19" x14ac:dyDescent="0.2">
      <c r="A596" s="1403"/>
      <c r="E596" s="1406"/>
      <c r="S596" s="1404"/>
    </row>
    <row r="597" spans="1:19" x14ac:dyDescent="0.2">
      <c r="A597" s="1403"/>
      <c r="E597" s="1406"/>
      <c r="S597" s="1404"/>
    </row>
    <row r="598" spans="1:19" x14ac:dyDescent="0.2">
      <c r="A598" s="1403"/>
      <c r="E598" s="1406"/>
      <c r="S598" s="1404"/>
    </row>
    <row r="599" spans="1:19" x14ac:dyDescent="0.2">
      <c r="A599" s="1403"/>
      <c r="E599" s="1406"/>
      <c r="S599" s="1404"/>
    </row>
    <row r="600" spans="1:19" x14ac:dyDescent="0.2">
      <c r="A600" s="1403"/>
      <c r="E600" s="1406"/>
      <c r="S600" s="1404"/>
    </row>
    <row r="601" spans="1:19" x14ac:dyDescent="0.2">
      <c r="A601" s="1403"/>
      <c r="E601" s="1406"/>
      <c r="S601" s="1404"/>
    </row>
    <row r="602" spans="1:19" x14ac:dyDescent="0.2">
      <c r="A602" s="1403"/>
      <c r="E602" s="1406"/>
      <c r="S602" s="1404"/>
    </row>
    <row r="603" spans="1:19" x14ac:dyDescent="0.2">
      <c r="A603" s="1403"/>
      <c r="E603" s="1406"/>
      <c r="S603" s="1404"/>
    </row>
    <row r="604" spans="1:19" x14ac:dyDescent="0.2">
      <c r="A604" s="1403"/>
      <c r="E604" s="1406"/>
      <c r="S604" s="1404"/>
    </row>
    <row r="605" spans="1:19" x14ac:dyDescent="0.2">
      <c r="A605" s="1403"/>
      <c r="E605" s="1406"/>
      <c r="S605" s="1404"/>
    </row>
    <row r="606" spans="1:19" x14ac:dyDescent="0.2">
      <c r="A606" s="1403"/>
      <c r="E606" s="1406"/>
      <c r="S606" s="1404"/>
    </row>
    <row r="607" spans="1:19" x14ac:dyDescent="0.2">
      <c r="A607" s="1403"/>
      <c r="E607" s="1406"/>
      <c r="S607" s="1404"/>
    </row>
    <row r="608" spans="1:19" x14ac:dyDescent="0.2">
      <c r="A608" s="1403"/>
      <c r="E608" s="1406"/>
      <c r="S608" s="1404"/>
    </row>
    <row r="609" spans="1:19" x14ac:dyDescent="0.2">
      <c r="A609" s="1403"/>
      <c r="E609" s="1406"/>
      <c r="S609" s="1404"/>
    </row>
    <row r="610" spans="1:19" x14ac:dyDescent="0.2">
      <c r="A610" s="1403"/>
      <c r="E610" s="1406"/>
      <c r="S610" s="1404"/>
    </row>
    <row r="611" spans="1:19" x14ac:dyDescent="0.2">
      <c r="A611" s="1403"/>
      <c r="E611" s="1406"/>
      <c r="S611" s="1404"/>
    </row>
    <row r="612" spans="1:19" x14ac:dyDescent="0.2">
      <c r="A612" s="1403"/>
      <c r="E612" s="1406"/>
      <c r="S612" s="1404"/>
    </row>
    <row r="613" spans="1:19" x14ac:dyDescent="0.2">
      <c r="A613" s="1403"/>
      <c r="E613" s="1406"/>
      <c r="S613" s="1404"/>
    </row>
    <row r="614" spans="1:19" x14ac:dyDescent="0.2">
      <c r="A614" s="1403"/>
      <c r="E614" s="1406"/>
      <c r="S614" s="1404"/>
    </row>
    <row r="615" spans="1:19" x14ac:dyDescent="0.2">
      <c r="A615" s="1403"/>
      <c r="E615" s="1406"/>
      <c r="S615" s="1404"/>
    </row>
    <row r="616" spans="1:19" x14ac:dyDescent="0.2">
      <c r="A616" s="1403"/>
      <c r="E616" s="1406"/>
      <c r="S616" s="1404"/>
    </row>
    <row r="617" spans="1:19" x14ac:dyDescent="0.2">
      <c r="A617" s="1403"/>
      <c r="E617" s="1406"/>
      <c r="S617" s="1404"/>
    </row>
    <row r="618" spans="1:19" x14ac:dyDescent="0.2">
      <c r="A618" s="1403"/>
      <c r="E618" s="1406"/>
      <c r="S618" s="1404"/>
    </row>
    <row r="619" spans="1:19" x14ac:dyDescent="0.2">
      <c r="A619" s="1403"/>
      <c r="E619" s="1406"/>
      <c r="S619" s="1404"/>
    </row>
    <row r="620" spans="1:19" x14ac:dyDescent="0.2">
      <c r="A620" s="1403"/>
      <c r="E620" s="1406"/>
      <c r="S620" s="1404"/>
    </row>
    <row r="621" spans="1:19" x14ac:dyDescent="0.2">
      <c r="A621" s="1403"/>
      <c r="E621" s="1406"/>
      <c r="S621" s="1404"/>
    </row>
    <row r="622" spans="1:19" x14ac:dyDescent="0.2">
      <c r="A622" s="1403"/>
      <c r="E622" s="1406"/>
      <c r="S622" s="1404"/>
    </row>
    <row r="623" spans="1:19" x14ac:dyDescent="0.2">
      <c r="A623" s="1403"/>
      <c r="E623" s="1406"/>
      <c r="S623" s="1404"/>
    </row>
    <row r="624" spans="1:19" x14ac:dyDescent="0.2">
      <c r="A624" s="1403"/>
      <c r="E624" s="1406"/>
      <c r="S624" s="1404"/>
    </row>
    <row r="625" spans="1:19" x14ac:dyDescent="0.2">
      <c r="A625" s="1403"/>
      <c r="E625" s="1406"/>
      <c r="S625" s="1404"/>
    </row>
    <row r="626" spans="1:19" x14ac:dyDescent="0.2">
      <c r="A626" s="1403"/>
      <c r="E626" s="1406"/>
      <c r="S626" s="1404"/>
    </row>
    <row r="627" spans="1:19" x14ac:dyDescent="0.2">
      <c r="A627" s="1403"/>
      <c r="E627" s="1406"/>
      <c r="S627" s="1404"/>
    </row>
    <row r="628" spans="1:19" x14ac:dyDescent="0.2">
      <c r="A628" s="1403"/>
      <c r="E628" s="1406"/>
      <c r="S628" s="1404"/>
    </row>
    <row r="629" spans="1:19" x14ac:dyDescent="0.2">
      <c r="A629" s="1403"/>
      <c r="E629" s="1406"/>
      <c r="S629" s="1404"/>
    </row>
    <row r="630" spans="1:19" x14ac:dyDescent="0.2">
      <c r="A630" s="1403"/>
      <c r="E630" s="1406"/>
      <c r="S630" s="1404"/>
    </row>
    <row r="631" spans="1:19" x14ac:dyDescent="0.2">
      <c r="A631" s="1403"/>
      <c r="E631" s="1406"/>
      <c r="S631" s="1404"/>
    </row>
    <row r="632" spans="1:19" x14ac:dyDescent="0.2">
      <c r="A632" s="1403"/>
      <c r="E632" s="1406"/>
      <c r="S632" s="1404"/>
    </row>
    <row r="633" spans="1:19" x14ac:dyDescent="0.2">
      <c r="A633" s="1403"/>
      <c r="E633" s="1406"/>
      <c r="S633" s="1404"/>
    </row>
    <row r="634" spans="1:19" x14ac:dyDescent="0.2">
      <c r="A634" s="1403"/>
      <c r="E634" s="1406"/>
      <c r="S634" s="1404"/>
    </row>
    <row r="635" spans="1:19" x14ac:dyDescent="0.2">
      <c r="A635" s="1403"/>
      <c r="E635" s="1406"/>
      <c r="S635" s="1404"/>
    </row>
    <row r="636" spans="1:19" x14ac:dyDescent="0.2">
      <c r="A636" s="1403"/>
      <c r="E636" s="1406"/>
      <c r="S636" s="1404"/>
    </row>
    <row r="637" spans="1:19" x14ac:dyDescent="0.2">
      <c r="A637" s="1403"/>
      <c r="E637" s="1406"/>
      <c r="S637" s="1404"/>
    </row>
    <row r="638" spans="1:19" x14ac:dyDescent="0.2">
      <c r="A638" s="1403"/>
      <c r="E638" s="1406"/>
      <c r="S638" s="1404"/>
    </row>
    <row r="639" spans="1:19" x14ac:dyDescent="0.2">
      <c r="A639" s="1403"/>
      <c r="E639" s="1406"/>
      <c r="S639" s="1404"/>
    </row>
    <row r="640" spans="1:19" x14ac:dyDescent="0.2">
      <c r="A640" s="1403"/>
      <c r="E640" s="1406"/>
      <c r="S640" s="1404"/>
    </row>
    <row r="641" spans="1:19" x14ac:dyDescent="0.2">
      <c r="A641" s="1403"/>
      <c r="E641" s="1406"/>
      <c r="S641" s="1404"/>
    </row>
    <row r="642" spans="1:19" x14ac:dyDescent="0.2">
      <c r="A642" s="1403"/>
      <c r="E642" s="1406"/>
      <c r="S642" s="1404"/>
    </row>
    <row r="643" spans="1:19" x14ac:dyDescent="0.2">
      <c r="A643" s="1403"/>
      <c r="E643" s="1406"/>
      <c r="S643" s="1404"/>
    </row>
    <row r="644" spans="1:19" x14ac:dyDescent="0.2">
      <c r="A644" s="1403"/>
      <c r="E644" s="1406"/>
      <c r="S644" s="1404"/>
    </row>
    <row r="645" spans="1:19" x14ac:dyDescent="0.2">
      <c r="A645" s="1403"/>
      <c r="E645" s="1406"/>
      <c r="S645" s="1404"/>
    </row>
    <row r="646" spans="1:19" x14ac:dyDescent="0.2">
      <c r="A646" s="1403"/>
      <c r="E646" s="1406"/>
      <c r="S646" s="1404"/>
    </row>
    <row r="647" spans="1:19" x14ac:dyDescent="0.2">
      <c r="A647" s="1403"/>
      <c r="E647" s="1406"/>
      <c r="S647" s="1404"/>
    </row>
    <row r="648" spans="1:19" x14ac:dyDescent="0.2">
      <c r="A648" s="1403"/>
      <c r="E648" s="1406"/>
      <c r="S648" s="1404"/>
    </row>
    <row r="649" spans="1:19" x14ac:dyDescent="0.2">
      <c r="A649" s="1403"/>
      <c r="E649" s="1406"/>
      <c r="S649" s="1404"/>
    </row>
    <row r="650" spans="1:19" x14ac:dyDescent="0.2">
      <c r="A650" s="1403"/>
      <c r="E650" s="1406"/>
      <c r="S650" s="1404"/>
    </row>
    <row r="651" spans="1:19" x14ac:dyDescent="0.2">
      <c r="A651" s="1403"/>
      <c r="E651" s="1406"/>
      <c r="S651" s="1404"/>
    </row>
    <row r="652" spans="1:19" x14ac:dyDescent="0.2">
      <c r="A652" s="1403"/>
      <c r="E652" s="1406"/>
      <c r="S652" s="1404"/>
    </row>
    <row r="653" spans="1:19" x14ac:dyDescent="0.2">
      <c r="A653" s="1403"/>
      <c r="E653" s="1406"/>
      <c r="S653" s="1404"/>
    </row>
    <row r="654" spans="1:19" x14ac:dyDescent="0.2">
      <c r="A654" s="1403"/>
      <c r="E654" s="1406"/>
      <c r="S654" s="1404"/>
    </row>
    <row r="655" spans="1:19" x14ac:dyDescent="0.2">
      <c r="A655" s="1403"/>
      <c r="E655" s="1406"/>
      <c r="S655" s="1404"/>
    </row>
    <row r="656" spans="1:19" x14ac:dyDescent="0.2">
      <c r="A656" s="1403"/>
      <c r="E656" s="1406"/>
      <c r="S656" s="1404"/>
    </row>
    <row r="657" spans="1:19" x14ac:dyDescent="0.2">
      <c r="A657" s="1403"/>
      <c r="E657" s="1406"/>
      <c r="S657" s="1404"/>
    </row>
    <row r="658" spans="1:19" x14ac:dyDescent="0.2">
      <c r="A658" s="1403"/>
      <c r="E658" s="1406"/>
      <c r="S658" s="1404"/>
    </row>
    <row r="659" spans="1:19" x14ac:dyDescent="0.2">
      <c r="A659" s="1403"/>
      <c r="E659" s="1406"/>
      <c r="S659" s="1404"/>
    </row>
    <row r="660" spans="1:19" x14ac:dyDescent="0.2">
      <c r="A660" s="1403"/>
      <c r="E660" s="1406"/>
      <c r="S660" s="1404"/>
    </row>
    <row r="661" spans="1:19" x14ac:dyDescent="0.2">
      <c r="A661" s="1403"/>
      <c r="E661" s="1406"/>
      <c r="S661" s="1404"/>
    </row>
    <row r="662" spans="1:19" x14ac:dyDescent="0.2">
      <c r="A662" s="1403"/>
      <c r="E662" s="1406"/>
      <c r="S662" s="1404"/>
    </row>
    <row r="663" spans="1:19" x14ac:dyDescent="0.2">
      <c r="A663" s="1403"/>
      <c r="E663" s="1406"/>
      <c r="S663" s="1404"/>
    </row>
    <row r="664" spans="1:19" x14ac:dyDescent="0.2">
      <c r="A664" s="1403"/>
      <c r="E664" s="1406"/>
      <c r="S664" s="1404"/>
    </row>
    <row r="665" spans="1:19" x14ac:dyDescent="0.2">
      <c r="A665" s="1403"/>
      <c r="E665" s="1406"/>
      <c r="S665" s="1404"/>
    </row>
    <row r="666" spans="1:19" x14ac:dyDescent="0.2">
      <c r="A666" s="1403"/>
      <c r="E666" s="1406"/>
      <c r="S666" s="1404"/>
    </row>
    <row r="667" spans="1:19" x14ac:dyDescent="0.2">
      <c r="A667" s="1403"/>
      <c r="E667" s="1406"/>
      <c r="S667" s="1404"/>
    </row>
    <row r="668" spans="1:19" x14ac:dyDescent="0.2">
      <c r="A668" s="1403"/>
      <c r="E668" s="1406"/>
      <c r="S668" s="1404"/>
    </row>
    <row r="669" spans="1:19" x14ac:dyDescent="0.2">
      <c r="A669" s="1403"/>
      <c r="E669" s="1406"/>
      <c r="S669" s="1404"/>
    </row>
    <row r="670" spans="1:19" x14ac:dyDescent="0.2">
      <c r="A670" s="1403"/>
      <c r="E670" s="1406"/>
      <c r="S670" s="1404"/>
    </row>
    <row r="671" spans="1:19" x14ac:dyDescent="0.2">
      <c r="A671" s="1403"/>
      <c r="E671" s="1406"/>
      <c r="S671" s="1404"/>
    </row>
    <row r="672" spans="1:19" x14ac:dyDescent="0.2">
      <c r="A672" s="1403"/>
      <c r="E672" s="1406"/>
      <c r="S672" s="1404"/>
    </row>
    <row r="673" spans="1:19" x14ac:dyDescent="0.2">
      <c r="A673" s="1403"/>
      <c r="E673" s="1406"/>
      <c r="S673" s="1404"/>
    </row>
    <row r="674" spans="1:19" x14ac:dyDescent="0.2">
      <c r="A674" s="1403"/>
      <c r="E674" s="1406"/>
      <c r="S674" s="1404"/>
    </row>
    <row r="675" spans="1:19" x14ac:dyDescent="0.2">
      <c r="A675" s="1403"/>
      <c r="E675" s="1406"/>
      <c r="S675" s="1404"/>
    </row>
    <row r="676" spans="1:19" x14ac:dyDescent="0.2">
      <c r="A676" s="1403"/>
      <c r="E676" s="1406"/>
      <c r="S676" s="1404"/>
    </row>
    <row r="677" spans="1:19" x14ac:dyDescent="0.2">
      <c r="A677" s="1403"/>
      <c r="E677" s="1406"/>
      <c r="S677" s="1404"/>
    </row>
    <row r="678" spans="1:19" x14ac:dyDescent="0.2">
      <c r="A678" s="1403"/>
      <c r="E678" s="1406"/>
      <c r="S678" s="1404"/>
    </row>
    <row r="679" spans="1:19" x14ac:dyDescent="0.2">
      <c r="A679" s="1403"/>
      <c r="E679" s="1406"/>
      <c r="S679" s="1404"/>
    </row>
    <row r="680" spans="1:19" x14ac:dyDescent="0.2">
      <c r="A680" s="1403"/>
      <c r="E680" s="1406"/>
      <c r="S680" s="1404"/>
    </row>
    <row r="681" spans="1:19" x14ac:dyDescent="0.2">
      <c r="A681" s="1403"/>
      <c r="E681" s="1406"/>
      <c r="S681" s="1404"/>
    </row>
    <row r="682" spans="1:19" x14ac:dyDescent="0.2">
      <c r="A682" s="1403"/>
      <c r="E682" s="1406"/>
      <c r="S682" s="1404"/>
    </row>
    <row r="683" spans="1:19" x14ac:dyDescent="0.2">
      <c r="A683" s="1403"/>
      <c r="E683" s="1406"/>
      <c r="S683" s="1404"/>
    </row>
    <row r="684" spans="1:19" x14ac:dyDescent="0.2">
      <c r="A684" s="1403"/>
      <c r="E684" s="1406"/>
      <c r="S684" s="1404"/>
    </row>
    <row r="685" spans="1:19" x14ac:dyDescent="0.2">
      <c r="A685" s="1403"/>
      <c r="E685" s="1406"/>
      <c r="S685" s="1404"/>
    </row>
    <row r="686" spans="1:19" x14ac:dyDescent="0.2">
      <c r="A686" s="1403"/>
      <c r="E686" s="1406"/>
      <c r="S686" s="1404"/>
    </row>
    <row r="687" spans="1:19" x14ac:dyDescent="0.2">
      <c r="A687" s="1403"/>
      <c r="E687" s="1406"/>
      <c r="S687" s="1404"/>
    </row>
    <row r="688" spans="1:19" x14ac:dyDescent="0.2">
      <c r="A688" s="1403"/>
      <c r="E688" s="1406"/>
      <c r="S688" s="1404"/>
    </row>
    <row r="689" spans="1:19" x14ac:dyDescent="0.2">
      <c r="A689" s="1403"/>
      <c r="E689" s="1406"/>
      <c r="S689" s="1404"/>
    </row>
    <row r="690" spans="1:19" x14ac:dyDescent="0.2">
      <c r="A690" s="1403"/>
      <c r="E690" s="1406"/>
      <c r="S690" s="1404"/>
    </row>
    <row r="691" spans="1:19" x14ac:dyDescent="0.2">
      <c r="A691" s="1403"/>
      <c r="E691" s="1406"/>
      <c r="S691" s="1404"/>
    </row>
    <row r="692" spans="1:19" x14ac:dyDescent="0.2">
      <c r="A692" s="1403"/>
      <c r="E692" s="1406"/>
      <c r="S692" s="1404"/>
    </row>
    <row r="693" spans="1:19" x14ac:dyDescent="0.2">
      <c r="A693" s="1403"/>
      <c r="E693" s="1406"/>
      <c r="S693" s="1404"/>
    </row>
    <row r="694" spans="1:19" x14ac:dyDescent="0.2">
      <c r="A694" s="1403"/>
      <c r="E694" s="1406"/>
      <c r="S694" s="1404"/>
    </row>
    <row r="695" spans="1:19" x14ac:dyDescent="0.2">
      <c r="A695" s="1403"/>
      <c r="E695" s="1406"/>
      <c r="S695" s="1404"/>
    </row>
    <row r="696" spans="1:19" x14ac:dyDescent="0.2">
      <c r="A696" s="1403"/>
      <c r="E696" s="1406"/>
      <c r="S696" s="1404"/>
    </row>
    <row r="697" spans="1:19" x14ac:dyDescent="0.2">
      <c r="A697" s="1403"/>
      <c r="E697" s="1406"/>
      <c r="S697" s="1404"/>
    </row>
    <row r="698" spans="1:19" x14ac:dyDescent="0.2">
      <c r="A698" s="1403"/>
      <c r="E698" s="1406"/>
      <c r="S698" s="1404"/>
    </row>
    <row r="699" spans="1:19" x14ac:dyDescent="0.2">
      <c r="A699" s="1403"/>
      <c r="E699" s="1406"/>
      <c r="S699" s="1404"/>
    </row>
    <row r="700" spans="1:19" x14ac:dyDescent="0.2">
      <c r="A700" s="1403"/>
      <c r="E700" s="1406"/>
      <c r="S700" s="1404"/>
    </row>
    <row r="701" spans="1:19" x14ac:dyDescent="0.2">
      <c r="A701" s="1403"/>
      <c r="E701" s="1406"/>
      <c r="S701" s="1404"/>
    </row>
    <row r="702" spans="1:19" x14ac:dyDescent="0.2">
      <c r="A702" s="1403"/>
      <c r="E702" s="1406"/>
      <c r="S702" s="1404"/>
    </row>
    <row r="703" spans="1:19" x14ac:dyDescent="0.2">
      <c r="A703" s="1403"/>
      <c r="E703" s="1406"/>
      <c r="S703" s="1404"/>
    </row>
    <row r="704" spans="1:19" x14ac:dyDescent="0.2">
      <c r="A704" s="1403"/>
      <c r="E704" s="1406"/>
      <c r="S704" s="1404"/>
    </row>
    <row r="705" spans="1:19" x14ac:dyDescent="0.2">
      <c r="A705" s="1403"/>
      <c r="E705" s="1406"/>
      <c r="S705" s="1404"/>
    </row>
    <row r="706" spans="1:19" x14ac:dyDescent="0.2">
      <c r="A706" s="1403"/>
      <c r="E706" s="1406"/>
      <c r="S706" s="1404"/>
    </row>
    <row r="707" spans="1:19" x14ac:dyDescent="0.2">
      <c r="A707" s="1403"/>
      <c r="E707" s="1406"/>
      <c r="S707" s="1404"/>
    </row>
    <row r="708" spans="1:19" x14ac:dyDescent="0.2">
      <c r="A708" s="1403"/>
      <c r="E708" s="1406"/>
      <c r="S708" s="1404"/>
    </row>
    <row r="709" spans="1:19" x14ac:dyDescent="0.2">
      <c r="A709" s="1403"/>
      <c r="E709" s="1406"/>
      <c r="S709" s="1404"/>
    </row>
    <row r="710" spans="1:19" x14ac:dyDescent="0.2">
      <c r="A710" s="1403"/>
      <c r="E710" s="1406"/>
      <c r="S710" s="1404"/>
    </row>
    <row r="711" spans="1:19" x14ac:dyDescent="0.2">
      <c r="A711" s="1403"/>
      <c r="E711" s="1406"/>
      <c r="S711" s="1404"/>
    </row>
    <row r="712" spans="1:19" x14ac:dyDescent="0.2">
      <c r="A712" s="1403"/>
      <c r="E712" s="1406"/>
      <c r="S712" s="1404"/>
    </row>
    <row r="713" spans="1:19" x14ac:dyDescent="0.2">
      <c r="A713" s="1403"/>
      <c r="E713" s="1406"/>
      <c r="S713" s="1404"/>
    </row>
    <row r="714" spans="1:19" x14ac:dyDescent="0.2">
      <c r="A714" s="1403"/>
      <c r="E714" s="1406"/>
      <c r="S714" s="1404"/>
    </row>
    <row r="715" spans="1:19" x14ac:dyDescent="0.2">
      <c r="A715" s="1403"/>
      <c r="E715" s="1406"/>
      <c r="S715" s="1404"/>
    </row>
    <row r="716" spans="1:19" x14ac:dyDescent="0.2">
      <c r="A716" s="1403"/>
      <c r="E716" s="1406"/>
      <c r="S716" s="1404"/>
    </row>
    <row r="717" spans="1:19" x14ac:dyDescent="0.2">
      <c r="A717" s="1403"/>
      <c r="E717" s="1406"/>
      <c r="S717" s="1404"/>
    </row>
    <row r="718" spans="1:19" x14ac:dyDescent="0.2">
      <c r="A718" s="1403"/>
      <c r="E718" s="1406"/>
      <c r="S718" s="1404"/>
    </row>
    <row r="719" spans="1:19" x14ac:dyDescent="0.2">
      <c r="A719" s="1403"/>
      <c r="E719" s="1406"/>
      <c r="S719" s="1404"/>
    </row>
    <row r="720" spans="1:19" x14ac:dyDescent="0.2">
      <c r="A720" s="1403"/>
      <c r="E720" s="1406"/>
      <c r="S720" s="1404"/>
    </row>
    <row r="721" spans="1:19" x14ac:dyDescent="0.2">
      <c r="A721" s="1403"/>
      <c r="E721" s="1406"/>
      <c r="S721" s="1404"/>
    </row>
    <row r="722" spans="1:19" x14ac:dyDescent="0.2">
      <c r="A722" s="1403"/>
      <c r="E722" s="1406"/>
      <c r="S722" s="1404"/>
    </row>
    <row r="723" spans="1:19" x14ac:dyDescent="0.2">
      <c r="A723" s="1403"/>
      <c r="E723" s="1406"/>
      <c r="S723" s="1404"/>
    </row>
    <row r="724" spans="1:19" x14ac:dyDescent="0.2">
      <c r="A724" s="1403"/>
      <c r="E724" s="1406"/>
      <c r="S724" s="1404"/>
    </row>
    <row r="725" spans="1:19" x14ac:dyDescent="0.2">
      <c r="A725" s="1403"/>
      <c r="E725" s="1406"/>
      <c r="S725" s="1404"/>
    </row>
    <row r="726" spans="1:19" x14ac:dyDescent="0.2">
      <c r="A726" s="1403"/>
      <c r="E726" s="1406"/>
      <c r="S726" s="1404"/>
    </row>
    <row r="727" spans="1:19" x14ac:dyDescent="0.2">
      <c r="A727" s="1403"/>
      <c r="E727" s="1406"/>
      <c r="S727" s="1404"/>
    </row>
    <row r="728" spans="1:19" x14ac:dyDescent="0.2">
      <c r="A728" s="1403"/>
      <c r="E728" s="1406"/>
      <c r="S728" s="1404"/>
    </row>
    <row r="729" spans="1:19" x14ac:dyDescent="0.2">
      <c r="A729" s="1403"/>
      <c r="E729" s="1406"/>
      <c r="S729" s="1404"/>
    </row>
    <row r="730" spans="1:19" x14ac:dyDescent="0.2">
      <c r="A730" s="1403"/>
      <c r="E730" s="1406"/>
      <c r="S730" s="1404"/>
    </row>
    <row r="731" spans="1:19" x14ac:dyDescent="0.2">
      <c r="A731" s="1403"/>
      <c r="E731" s="1406"/>
      <c r="S731" s="1404"/>
    </row>
    <row r="732" spans="1:19" x14ac:dyDescent="0.2">
      <c r="A732" s="1403"/>
      <c r="E732" s="1406"/>
      <c r="S732" s="1404"/>
    </row>
    <row r="733" spans="1:19" x14ac:dyDescent="0.2">
      <c r="A733" s="1403"/>
      <c r="E733" s="1406"/>
      <c r="S733" s="1404"/>
    </row>
    <row r="734" spans="1:19" x14ac:dyDescent="0.2">
      <c r="A734" s="1403"/>
      <c r="E734" s="1406"/>
      <c r="S734" s="1404"/>
    </row>
    <row r="735" spans="1:19" x14ac:dyDescent="0.2">
      <c r="A735" s="1403"/>
      <c r="E735" s="1406"/>
      <c r="S735" s="1404"/>
    </row>
    <row r="736" spans="1:19" x14ac:dyDescent="0.2">
      <c r="A736" s="1403"/>
      <c r="E736" s="1406"/>
      <c r="S736" s="1404"/>
    </row>
    <row r="737" spans="1:19" x14ac:dyDescent="0.2">
      <c r="A737" s="1403"/>
      <c r="E737" s="1406"/>
      <c r="S737" s="1404"/>
    </row>
    <row r="738" spans="1:19" x14ac:dyDescent="0.2">
      <c r="A738" s="1403"/>
      <c r="E738" s="1406"/>
      <c r="S738" s="1404"/>
    </row>
    <row r="739" spans="1:19" x14ac:dyDescent="0.2">
      <c r="A739" s="1403"/>
      <c r="E739" s="1406"/>
      <c r="S739" s="1404"/>
    </row>
    <row r="740" spans="1:19" x14ac:dyDescent="0.2">
      <c r="A740" s="1403"/>
      <c r="E740" s="1406"/>
      <c r="S740" s="1404"/>
    </row>
    <row r="741" spans="1:19" x14ac:dyDescent="0.2">
      <c r="A741" s="1403"/>
      <c r="E741" s="1406"/>
      <c r="S741" s="1404"/>
    </row>
    <row r="742" spans="1:19" x14ac:dyDescent="0.2">
      <c r="A742" s="1403"/>
      <c r="E742" s="1406"/>
      <c r="S742" s="1404"/>
    </row>
    <row r="743" spans="1:19" x14ac:dyDescent="0.2">
      <c r="A743" s="1403"/>
      <c r="E743" s="1406"/>
      <c r="S743" s="1404"/>
    </row>
    <row r="744" spans="1:19" x14ac:dyDescent="0.2">
      <c r="A744" s="1403"/>
      <c r="E744" s="1406"/>
      <c r="S744" s="1404"/>
    </row>
    <row r="745" spans="1:19" x14ac:dyDescent="0.2">
      <c r="A745" s="1403"/>
      <c r="E745" s="1406"/>
      <c r="S745" s="1404"/>
    </row>
    <row r="746" spans="1:19" x14ac:dyDescent="0.2">
      <c r="A746" s="1403"/>
      <c r="E746" s="1406"/>
      <c r="S746" s="1404"/>
    </row>
    <row r="747" spans="1:19" x14ac:dyDescent="0.2">
      <c r="A747" s="1403"/>
      <c r="E747" s="1406"/>
      <c r="S747" s="1404"/>
    </row>
    <row r="748" spans="1:19" x14ac:dyDescent="0.2">
      <c r="A748" s="1403"/>
      <c r="E748" s="1406"/>
      <c r="S748" s="1404"/>
    </row>
    <row r="749" spans="1:19" x14ac:dyDescent="0.2">
      <c r="A749" s="1403"/>
      <c r="E749" s="1406"/>
      <c r="S749" s="1404"/>
    </row>
    <row r="750" spans="1:19" x14ac:dyDescent="0.2">
      <c r="A750" s="1403"/>
      <c r="E750" s="1406"/>
      <c r="S750" s="1404"/>
    </row>
    <row r="751" spans="1:19" x14ac:dyDescent="0.2">
      <c r="A751" s="1403"/>
      <c r="E751" s="1406"/>
      <c r="S751" s="1404"/>
    </row>
    <row r="752" spans="1:19" x14ac:dyDescent="0.2">
      <c r="A752" s="1403"/>
      <c r="E752" s="1406"/>
      <c r="S752" s="1404"/>
    </row>
    <row r="753" spans="1:19" x14ac:dyDescent="0.2">
      <c r="A753" s="1403"/>
      <c r="E753" s="1406"/>
      <c r="S753" s="1404"/>
    </row>
    <row r="754" spans="1:19" x14ac:dyDescent="0.2">
      <c r="A754" s="1403"/>
      <c r="E754" s="1406"/>
      <c r="S754" s="1404"/>
    </row>
    <row r="755" spans="1:19" x14ac:dyDescent="0.2">
      <c r="A755" s="1403"/>
      <c r="E755" s="1406"/>
      <c r="S755" s="1404"/>
    </row>
    <row r="756" spans="1:19" x14ac:dyDescent="0.2">
      <c r="A756" s="1403"/>
      <c r="E756" s="1406"/>
      <c r="S756" s="1404"/>
    </row>
    <row r="757" spans="1:19" x14ac:dyDescent="0.2">
      <c r="A757" s="1403"/>
      <c r="E757" s="1406"/>
      <c r="S757" s="1404"/>
    </row>
    <row r="758" spans="1:19" x14ac:dyDescent="0.2">
      <c r="A758" s="1403"/>
      <c r="E758" s="1406"/>
      <c r="S758" s="1404"/>
    </row>
    <row r="759" spans="1:19" x14ac:dyDescent="0.2">
      <c r="A759" s="1403"/>
      <c r="E759" s="1406"/>
      <c r="S759" s="1404"/>
    </row>
    <row r="760" spans="1:19" x14ac:dyDescent="0.2">
      <c r="A760" s="1403"/>
      <c r="E760" s="1406"/>
      <c r="S760" s="1404"/>
    </row>
    <row r="761" spans="1:19" x14ac:dyDescent="0.2">
      <c r="A761" s="1403"/>
      <c r="E761" s="1406"/>
      <c r="S761" s="1404"/>
    </row>
    <row r="762" spans="1:19" x14ac:dyDescent="0.2">
      <c r="A762" s="1403"/>
      <c r="E762" s="1406"/>
      <c r="S762" s="1404"/>
    </row>
    <row r="763" spans="1:19" x14ac:dyDescent="0.2">
      <c r="A763" s="1403"/>
      <c r="E763" s="1406"/>
      <c r="S763" s="1404"/>
    </row>
    <row r="764" spans="1:19" x14ac:dyDescent="0.2">
      <c r="A764" s="1403"/>
      <c r="E764" s="1406"/>
      <c r="S764" s="1404"/>
    </row>
    <row r="765" spans="1:19" x14ac:dyDescent="0.2">
      <c r="A765" s="1403"/>
      <c r="E765" s="1406"/>
      <c r="S765" s="1404"/>
    </row>
    <row r="766" spans="1:19" x14ac:dyDescent="0.2">
      <c r="A766" s="1403"/>
      <c r="E766" s="1406"/>
      <c r="S766" s="1404"/>
    </row>
    <row r="767" spans="1:19" x14ac:dyDescent="0.2">
      <c r="A767" s="1403"/>
      <c r="E767" s="1406"/>
      <c r="S767" s="1404"/>
    </row>
    <row r="768" spans="1:19" x14ac:dyDescent="0.2">
      <c r="A768" s="1403"/>
      <c r="E768" s="1406"/>
      <c r="S768" s="1404"/>
    </row>
    <row r="769" spans="1:19" x14ac:dyDescent="0.2">
      <c r="A769" s="1403"/>
      <c r="E769" s="1406"/>
      <c r="S769" s="1404"/>
    </row>
    <row r="770" spans="1:19" x14ac:dyDescent="0.2">
      <c r="A770" s="1403"/>
      <c r="E770" s="1406"/>
      <c r="S770" s="1404"/>
    </row>
    <row r="771" spans="1:19" x14ac:dyDescent="0.2">
      <c r="A771" s="1403"/>
      <c r="E771" s="1406"/>
      <c r="S771" s="1404"/>
    </row>
    <row r="772" spans="1:19" x14ac:dyDescent="0.2">
      <c r="A772" s="1403"/>
      <c r="E772" s="1406"/>
      <c r="S772" s="1404"/>
    </row>
    <row r="773" spans="1:19" x14ac:dyDescent="0.2">
      <c r="A773" s="1403"/>
      <c r="E773" s="1406"/>
      <c r="S773" s="1404"/>
    </row>
    <row r="774" spans="1:19" x14ac:dyDescent="0.2">
      <c r="A774" s="1403"/>
      <c r="E774" s="1406"/>
      <c r="S774" s="1404"/>
    </row>
    <row r="775" spans="1:19" x14ac:dyDescent="0.2">
      <c r="A775" s="1403"/>
      <c r="E775" s="1406"/>
      <c r="S775" s="1404"/>
    </row>
    <row r="776" spans="1:19" x14ac:dyDescent="0.2">
      <c r="A776" s="1403"/>
      <c r="E776" s="1406"/>
      <c r="S776" s="1404"/>
    </row>
    <row r="777" spans="1:19" x14ac:dyDescent="0.2">
      <c r="A777" s="1403"/>
      <c r="E777" s="1406"/>
      <c r="S777" s="1404"/>
    </row>
    <row r="778" spans="1:19" x14ac:dyDescent="0.2">
      <c r="A778" s="1403"/>
      <c r="E778" s="1406"/>
      <c r="S778" s="1404"/>
    </row>
    <row r="779" spans="1:19" x14ac:dyDescent="0.2">
      <c r="A779" s="1403"/>
      <c r="E779" s="1406"/>
      <c r="S779" s="1404"/>
    </row>
    <row r="780" spans="1:19" x14ac:dyDescent="0.2">
      <c r="A780" s="1403"/>
      <c r="E780" s="1406"/>
      <c r="S780" s="1404"/>
    </row>
    <row r="781" spans="1:19" x14ac:dyDescent="0.2">
      <c r="A781" s="1403"/>
      <c r="E781" s="1406"/>
      <c r="S781" s="1404"/>
    </row>
    <row r="782" spans="1:19" x14ac:dyDescent="0.2">
      <c r="A782" s="1403"/>
      <c r="E782" s="1406"/>
      <c r="S782" s="1404"/>
    </row>
    <row r="783" spans="1:19" x14ac:dyDescent="0.2">
      <c r="A783" s="1403"/>
      <c r="E783" s="1406"/>
      <c r="S783" s="1404"/>
    </row>
    <row r="784" spans="1:19" x14ac:dyDescent="0.2">
      <c r="A784" s="1403"/>
      <c r="E784" s="1406"/>
      <c r="S784" s="1404"/>
    </row>
    <row r="785" spans="1:19" x14ac:dyDescent="0.2">
      <c r="A785" s="1403"/>
      <c r="E785" s="1406"/>
      <c r="S785" s="1404"/>
    </row>
    <row r="786" spans="1:19" x14ac:dyDescent="0.2">
      <c r="A786" s="1403"/>
      <c r="E786" s="1406"/>
      <c r="S786" s="1404"/>
    </row>
    <row r="787" spans="1:19" x14ac:dyDescent="0.2">
      <c r="A787" s="1403"/>
      <c r="E787" s="1406"/>
      <c r="S787" s="1404"/>
    </row>
    <row r="788" spans="1:19" x14ac:dyDescent="0.2">
      <c r="A788" s="1403"/>
      <c r="E788" s="1406"/>
      <c r="S788" s="1404"/>
    </row>
    <row r="789" spans="1:19" x14ac:dyDescent="0.2">
      <c r="A789" s="1403"/>
      <c r="E789" s="1406"/>
      <c r="S789" s="1404"/>
    </row>
    <row r="790" spans="1:19" x14ac:dyDescent="0.2">
      <c r="A790" s="1403"/>
      <c r="E790" s="1406"/>
      <c r="S790" s="1404"/>
    </row>
    <row r="791" spans="1:19" x14ac:dyDescent="0.2">
      <c r="A791" s="1403"/>
      <c r="E791" s="1406"/>
      <c r="S791" s="1404"/>
    </row>
    <row r="792" spans="1:19" x14ac:dyDescent="0.2">
      <c r="A792" s="1403"/>
      <c r="E792" s="1406"/>
      <c r="S792" s="1404"/>
    </row>
    <row r="793" spans="1:19" x14ac:dyDescent="0.2">
      <c r="A793" s="1403"/>
      <c r="E793" s="1406"/>
      <c r="S793" s="1404"/>
    </row>
    <row r="794" spans="1:19" x14ac:dyDescent="0.2">
      <c r="A794" s="1403"/>
      <c r="E794" s="1406"/>
      <c r="S794" s="1404"/>
    </row>
    <row r="795" spans="1:19" x14ac:dyDescent="0.2">
      <c r="A795" s="1403"/>
      <c r="E795" s="1406"/>
      <c r="S795" s="1404"/>
    </row>
    <row r="796" spans="1:19" x14ac:dyDescent="0.2">
      <c r="A796" s="1403"/>
      <c r="E796" s="1406"/>
      <c r="S796" s="1404"/>
    </row>
    <row r="797" spans="1:19" x14ac:dyDescent="0.2">
      <c r="A797" s="1403"/>
      <c r="E797" s="1406"/>
      <c r="S797" s="1404"/>
    </row>
    <row r="798" spans="1:19" x14ac:dyDescent="0.2">
      <c r="A798" s="1403"/>
      <c r="E798" s="1406"/>
      <c r="S798" s="1404"/>
    </row>
    <row r="799" spans="1:19" x14ac:dyDescent="0.2">
      <c r="A799" s="1403"/>
      <c r="E799" s="1406"/>
      <c r="S799" s="1404"/>
    </row>
    <row r="800" spans="1:19" x14ac:dyDescent="0.2">
      <c r="A800" s="1403"/>
      <c r="E800" s="1406"/>
      <c r="S800" s="1404"/>
    </row>
    <row r="801" spans="1:19" x14ac:dyDescent="0.2">
      <c r="A801" s="1403"/>
      <c r="E801" s="1406"/>
      <c r="S801" s="1404"/>
    </row>
    <row r="802" spans="1:19" x14ac:dyDescent="0.2">
      <c r="A802" s="1403"/>
      <c r="E802" s="1406"/>
      <c r="S802" s="1404"/>
    </row>
    <row r="803" spans="1:19" x14ac:dyDescent="0.2">
      <c r="A803" s="1403"/>
      <c r="E803" s="1406"/>
      <c r="S803" s="1404"/>
    </row>
    <row r="804" spans="1:19" x14ac:dyDescent="0.2">
      <c r="A804" s="1403"/>
      <c r="E804" s="1406"/>
      <c r="S804" s="1404"/>
    </row>
    <row r="805" spans="1:19" x14ac:dyDescent="0.2">
      <c r="A805" s="1403"/>
      <c r="E805" s="1406"/>
      <c r="S805" s="1404"/>
    </row>
    <row r="806" spans="1:19" x14ac:dyDescent="0.2">
      <c r="A806" s="1403"/>
      <c r="E806" s="1406"/>
      <c r="S806" s="1404"/>
    </row>
    <row r="807" spans="1:19" x14ac:dyDescent="0.2">
      <c r="A807" s="1403"/>
      <c r="E807" s="1406"/>
      <c r="S807" s="1404"/>
    </row>
    <row r="808" spans="1:19" x14ac:dyDescent="0.2">
      <c r="A808" s="1403"/>
      <c r="E808" s="1406"/>
      <c r="S808" s="1404"/>
    </row>
    <row r="809" spans="1:19" x14ac:dyDescent="0.2">
      <c r="A809" s="1403"/>
      <c r="E809" s="1406"/>
      <c r="S809" s="1404"/>
    </row>
    <row r="810" spans="1:19" x14ac:dyDescent="0.2">
      <c r="A810" s="1403"/>
      <c r="E810" s="1406"/>
      <c r="S810" s="1404"/>
    </row>
    <row r="811" spans="1:19" x14ac:dyDescent="0.2">
      <c r="A811" s="1403"/>
      <c r="E811" s="1406"/>
      <c r="S811" s="1404"/>
    </row>
    <row r="812" spans="1:19" x14ac:dyDescent="0.2">
      <c r="A812" s="1403"/>
      <c r="E812" s="1406"/>
      <c r="S812" s="1404"/>
    </row>
    <row r="813" spans="1:19" x14ac:dyDescent="0.2">
      <c r="A813" s="1403"/>
      <c r="E813" s="1406"/>
      <c r="S813" s="1404"/>
    </row>
    <row r="814" spans="1:19" x14ac:dyDescent="0.2">
      <c r="A814" s="1403"/>
      <c r="E814" s="1406"/>
      <c r="S814" s="1404"/>
    </row>
    <row r="815" spans="1:19" x14ac:dyDescent="0.2">
      <c r="A815" s="1403"/>
      <c r="E815" s="1406"/>
      <c r="S815" s="1404"/>
    </row>
    <row r="816" spans="1:19" x14ac:dyDescent="0.2">
      <c r="A816" s="1403"/>
      <c r="E816" s="1406"/>
      <c r="S816" s="1404"/>
    </row>
    <row r="817" spans="1:19" x14ac:dyDescent="0.2">
      <c r="A817" s="1403"/>
      <c r="E817" s="1406"/>
      <c r="S817" s="1404"/>
    </row>
    <row r="818" spans="1:19" x14ac:dyDescent="0.2">
      <c r="A818" s="1403"/>
      <c r="E818" s="1406"/>
      <c r="S818" s="1404"/>
    </row>
    <row r="819" spans="1:19" x14ac:dyDescent="0.2">
      <c r="A819" s="1403"/>
      <c r="E819" s="1406"/>
      <c r="S819" s="1404"/>
    </row>
    <row r="820" spans="1:19" x14ac:dyDescent="0.2">
      <c r="A820" s="1403"/>
      <c r="E820" s="1406"/>
      <c r="S820" s="1404"/>
    </row>
    <row r="821" spans="1:19" x14ac:dyDescent="0.2">
      <c r="A821" s="1403"/>
      <c r="E821" s="1406"/>
      <c r="S821" s="1404"/>
    </row>
    <row r="822" spans="1:19" x14ac:dyDescent="0.2">
      <c r="A822" s="1403"/>
      <c r="E822" s="1406"/>
      <c r="S822" s="1404"/>
    </row>
    <row r="823" spans="1:19" x14ac:dyDescent="0.2">
      <c r="A823" s="1403"/>
      <c r="E823" s="1406"/>
      <c r="S823" s="1404"/>
    </row>
    <row r="824" spans="1:19" x14ac:dyDescent="0.2">
      <c r="A824" s="1403"/>
      <c r="E824" s="1406"/>
      <c r="S824" s="1404"/>
    </row>
    <row r="825" spans="1:19" x14ac:dyDescent="0.2">
      <c r="A825" s="1403"/>
      <c r="E825" s="1406"/>
      <c r="S825" s="1404"/>
    </row>
    <row r="826" spans="1:19" x14ac:dyDescent="0.2">
      <c r="A826" s="1403"/>
      <c r="E826" s="1406"/>
      <c r="S826" s="1404"/>
    </row>
    <row r="827" spans="1:19" x14ac:dyDescent="0.2">
      <c r="A827" s="1403"/>
      <c r="E827" s="1406"/>
      <c r="S827" s="1404"/>
    </row>
    <row r="828" spans="1:19" x14ac:dyDescent="0.2">
      <c r="A828" s="1403"/>
      <c r="E828" s="1406"/>
      <c r="S828" s="1404"/>
    </row>
    <row r="829" spans="1:19" x14ac:dyDescent="0.2">
      <c r="A829" s="1403"/>
      <c r="E829" s="1406"/>
      <c r="S829" s="1404"/>
    </row>
    <row r="830" spans="1:19" x14ac:dyDescent="0.2">
      <c r="A830" s="1403"/>
      <c r="E830" s="1406"/>
      <c r="S830" s="1404"/>
    </row>
    <row r="831" spans="1:19" x14ac:dyDescent="0.2">
      <c r="A831" s="1403"/>
      <c r="E831" s="1406"/>
      <c r="S831" s="1404"/>
    </row>
    <row r="832" spans="1:19" x14ac:dyDescent="0.2">
      <c r="A832" s="1403"/>
      <c r="E832" s="1406"/>
      <c r="S832" s="1404"/>
    </row>
    <row r="833" spans="1:19" x14ac:dyDescent="0.2">
      <c r="A833" s="1403"/>
      <c r="E833" s="1406"/>
      <c r="S833" s="1404"/>
    </row>
    <row r="834" spans="1:19" x14ac:dyDescent="0.2">
      <c r="A834" s="1403"/>
      <c r="E834" s="1406"/>
      <c r="S834" s="1404"/>
    </row>
    <row r="835" spans="1:19" x14ac:dyDescent="0.2">
      <c r="A835" s="1403"/>
      <c r="E835" s="1406"/>
      <c r="S835" s="1404"/>
    </row>
    <row r="836" spans="1:19" x14ac:dyDescent="0.2">
      <c r="A836" s="1403"/>
      <c r="E836" s="1406"/>
      <c r="S836" s="1404"/>
    </row>
    <row r="837" spans="1:19" x14ac:dyDescent="0.2">
      <c r="A837" s="1403"/>
      <c r="E837" s="1406"/>
      <c r="S837" s="1404"/>
    </row>
    <row r="838" spans="1:19" x14ac:dyDescent="0.2">
      <c r="A838" s="1403"/>
      <c r="E838" s="1406"/>
      <c r="S838" s="1404"/>
    </row>
    <row r="839" spans="1:19" x14ac:dyDescent="0.2">
      <c r="A839" s="1403"/>
      <c r="E839" s="1406"/>
      <c r="S839" s="1404"/>
    </row>
  </sheetData>
  <mergeCells count="112">
    <mergeCell ref="A161:A164"/>
    <mergeCell ref="C163:C164"/>
    <mergeCell ref="A165:A168"/>
    <mergeCell ref="C167:C168"/>
    <mergeCell ref="A169:A172"/>
    <mergeCell ref="C171:C172"/>
    <mergeCell ref="C151:C152"/>
    <mergeCell ref="A153:A156"/>
    <mergeCell ref="C155:C156"/>
    <mergeCell ref="A157:A160"/>
    <mergeCell ref="C159:C160"/>
    <mergeCell ref="A149:A152"/>
    <mergeCell ref="A145:A148"/>
    <mergeCell ref="C147:C148"/>
    <mergeCell ref="A125:A128"/>
    <mergeCell ref="S125:S128"/>
    <mergeCell ref="C127:C128"/>
    <mergeCell ref="A106:A108"/>
    <mergeCell ref="S106:S108"/>
    <mergeCell ref="C107:C108"/>
    <mergeCell ref="A121:A124"/>
    <mergeCell ref="S121:S124"/>
    <mergeCell ref="C123:C124"/>
    <mergeCell ref="A129:A132"/>
    <mergeCell ref="S129:S132"/>
    <mergeCell ref="C131:C132"/>
    <mergeCell ref="A133:A136"/>
    <mergeCell ref="C135:C136"/>
    <mergeCell ref="A137:A140"/>
    <mergeCell ref="C139:C140"/>
    <mergeCell ref="A141:A144"/>
    <mergeCell ref="C143:C144"/>
    <mergeCell ref="A13:A23"/>
    <mergeCell ref="S13:S23"/>
    <mergeCell ref="C14:C18"/>
    <mergeCell ref="C20:C23"/>
    <mergeCell ref="A109:A112"/>
    <mergeCell ref="S109:S112"/>
    <mergeCell ref="C111:C112"/>
    <mergeCell ref="A24:A34"/>
    <mergeCell ref="S24:S34"/>
    <mergeCell ref="C26:C29"/>
    <mergeCell ref="C31:C34"/>
    <mergeCell ref="A35:A45"/>
    <mergeCell ref="S35:S45"/>
    <mergeCell ref="C37:C40"/>
    <mergeCell ref="C42:C45"/>
    <mergeCell ref="A46:A56"/>
    <mergeCell ref="S46:S56"/>
    <mergeCell ref="C48:C51"/>
    <mergeCell ref="C53:C56"/>
    <mergeCell ref="A57:A67"/>
    <mergeCell ref="S57:S67"/>
    <mergeCell ref="C59:C62"/>
    <mergeCell ref="C64:C67"/>
    <mergeCell ref="A82:A92"/>
    <mergeCell ref="A4:S4"/>
    <mergeCell ref="A5:A8"/>
    <mergeCell ref="B5:B8"/>
    <mergeCell ref="C5:C8"/>
    <mergeCell ref="D5:H5"/>
    <mergeCell ref="I5:M5"/>
    <mergeCell ref="N5:S5"/>
    <mergeCell ref="D6:D8"/>
    <mergeCell ref="E6:E8"/>
    <mergeCell ref="F6:F8"/>
    <mergeCell ref="I6:I8"/>
    <mergeCell ref="J6:J8"/>
    <mergeCell ref="K6:K8"/>
    <mergeCell ref="M6:M8"/>
    <mergeCell ref="N6:N8"/>
    <mergeCell ref="S6:S8"/>
    <mergeCell ref="P7:P8"/>
    <mergeCell ref="Q7:Q8"/>
    <mergeCell ref="R7:R8"/>
    <mergeCell ref="L6:L8"/>
    <mergeCell ref="G6:H6"/>
    <mergeCell ref="G7:G8"/>
    <mergeCell ref="H7:H8"/>
    <mergeCell ref="O6:R6"/>
    <mergeCell ref="A93:A101"/>
    <mergeCell ref="S93:S101"/>
    <mergeCell ref="C95:C98"/>
    <mergeCell ref="C100:C101"/>
    <mergeCell ref="A113:A116"/>
    <mergeCell ref="S113:S116"/>
    <mergeCell ref="C115:C116"/>
    <mergeCell ref="A117:A120"/>
    <mergeCell ref="S117:S120"/>
    <mergeCell ref="C119:C120"/>
    <mergeCell ref="C84:C87"/>
    <mergeCell ref="C89:C92"/>
    <mergeCell ref="A68:A74"/>
    <mergeCell ref="S68:S74"/>
    <mergeCell ref="C70:C71"/>
    <mergeCell ref="C73:C74"/>
    <mergeCell ref="A75:A81"/>
    <mergeCell ref="S75:S81"/>
    <mergeCell ref="C77:C78"/>
    <mergeCell ref="C80:C81"/>
    <mergeCell ref="O7:O8"/>
    <mergeCell ref="S153:S156"/>
    <mergeCell ref="S157:S160"/>
    <mergeCell ref="S169:S172"/>
    <mergeCell ref="S82:S92"/>
    <mergeCell ref="S133:S136"/>
    <mergeCell ref="S137:S140"/>
    <mergeCell ref="S141:S144"/>
    <mergeCell ref="S145:S148"/>
    <mergeCell ref="S149:S152"/>
    <mergeCell ref="S161:S164"/>
    <mergeCell ref="S165:S168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56" firstPageNumber="75" orientation="portrait" useFirstPageNumber="1" r:id="rId1"/>
  <headerFooter alignWithMargins="0">
    <oddHeader>&amp;C&amp;"Arial,Kursywa"Informacja o przebiegu wykonania budżetu Województwa Zachodniopomorskiego za I kwartał 2013 roku - załączniki
____________________________________________________________________________________________________________________________</oddHeader>
    <oddFooter>&amp;C&amp;8&amp;P</oddFooter>
  </headerFooter>
  <rowBreaks count="1" manualBreakCount="1">
    <brk id="152" max="18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CC437"/>
  <sheetViews>
    <sheetView showGridLines="0" view="pageBreakPreview" zoomScale="90" zoomScaleNormal="100" zoomScaleSheetLayoutView="90" workbookViewId="0">
      <pane xSplit="4" ySplit="7" topLeftCell="E8" activePane="bottomRight" state="frozen"/>
      <selection activeCell="A5" sqref="A5:Q5"/>
      <selection pane="topRight" activeCell="A5" sqref="A5:Q5"/>
      <selection pane="bottomLeft" activeCell="A5" sqref="A5:Q5"/>
      <selection pane="bottomRight" activeCell="T1" sqref="T1:Y1048576"/>
    </sheetView>
  </sheetViews>
  <sheetFormatPr defaultRowHeight="11.25" x14ac:dyDescent="0.2"/>
  <cols>
    <col min="1" max="1" width="4.140625" style="473" customWidth="1"/>
    <col min="2" max="2" width="44" style="271" customWidth="1"/>
    <col min="3" max="3" width="11.42578125" style="271" customWidth="1"/>
    <col min="4" max="4" width="14.5703125" style="271" customWidth="1"/>
    <col min="5" max="5" width="1.28515625" style="271" hidden="1" customWidth="1"/>
    <col min="6" max="6" width="12.7109375" style="271" hidden="1" customWidth="1"/>
    <col min="7" max="7" width="12.7109375" style="271" customWidth="1"/>
    <col min="8" max="8" width="13.7109375" style="271" customWidth="1"/>
    <col min="9" max="9" width="13.140625" style="271" hidden="1" customWidth="1"/>
    <col min="10" max="10" width="10.7109375" style="271" hidden="1" customWidth="1"/>
    <col min="11" max="11" width="12.28515625" style="271" hidden="1" customWidth="1"/>
    <col min="12" max="13" width="12.42578125" style="271" hidden="1" customWidth="1"/>
    <col min="14" max="14" width="12.140625" style="478" customWidth="1"/>
    <col min="15" max="15" width="10.7109375" style="478" customWidth="1"/>
    <col min="16" max="16" width="12.28515625" style="478" customWidth="1"/>
    <col min="17" max="17" width="12.7109375" style="478" customWidth="1"/>
    <col min="18" max="18" width="12.7109375" style="478" hidden="1" customWidth="1"/>
    <col min="19" max="19" width="15.140625" style="479" customWidth="1"/>
    <col min="20" max="20" width="11.7109375" style="271" customWidth="1"/>
    <col min="21" max="21" width="13" style="271" customWidth="1"/>
    <col min="22" max="22" width="4.28515625" style="271" customWidth="1"/>
    <col min="23" max="23" width="12.42578125" style="271" customWidth="1"/>
    <col min="24" max="24" width="18.28515625" style="271" customWidth="1"/>
    <col min="25" max="25" width="13.5703125" style="271" customWidth="1"/>
    <col min="26" max="38" width="18.28515625" style="271" customWidth="1"/>
    <col min="39" max="80" width="3.28515625" style="271" customWidth="1"/>
    <col min="81" max="16384" width="9.140625" style="271"/>
  </cols>
  <sheetData>
    <row r="1" spans="1:81" s="240" customFormat="1" ht="25.5" customHeight="1" x14ac:dyDescent="0.3">
      <c r="A1" s="232"/>
      <c r="B1" s="233"/>
      <c r="C1" s="234"/>
      <c r="D1" s="235"/>
      <c r="E1" s="236"/>
      <c r="F1" s="235"/>
      <c r="G1" s="235"/>
      <c r="H1" s="235"/>
      <c r="I1" s="235"/>
      <c r="J1" s="235"/>
      <c r="K1" s="235"/>
      <c r="L1" s="235"/>
      <c r="M1" s="235"/>
      <c r="N1" s="9"/>
      <c r="O1" s="235"/>
      <c r="P1" s="235"/>
      <c r="Q1" s="9" t="s">
        <v>371</v>
      </c>
      <c r="R1" s="235"/>
      <c r="S1" s="237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  <c r="AK1" s="238"/>
      <c r="AL1" s="238"/>
      <c r="AM1" s="238"/>
      <c r="AN1" s="238"/>
      <c r="AO1" s="238"/>
      <c r="AP1" s="238"/>
      <c r="AQ1" s="238"/>
      <c r="AR1" s="238"/>
      <c r="AS1" s="238"/>
      <c r="AT1" s="238"/>
      <c r="AU1" s="238"/>
      <c r="AV1" s="238"/>
      <c r="AW1" s="238"/>
      <c r="AX1" s="238"/>
      <c r="AY1" s="238"/>
      <c r="AZ1" s="238"/>
      <c r="BA1" s="238"/>
      <c r="BB1" s="238"/>
      <c r="BC1" s="238"/>
      <c r="BD1" s="238"/>
      <c r="BE1" s="238"/>
      <c r="BF1" s="238"/>
      <c r="BG1" s="238"/>
      <c r="BH1" s="238"/>
      <c r="BI1" s="238"/>
      <c r="BJ1" s="238"/>
      <c r="BK1" s="238"/>
      <c r="BL1" s="238"/>
      <c r="BM1" s="238"/>
      <c r="BN1" s="238"/>
      <c r="BO1" s="238"/>
      <c r="BP1" s="238"/>
      <c r="BQ1" s="238"/>
      <c r="BR1" s="238"/>
      <c r="BS1" s="238"/>
      <c r="BT1" s="238"/>
      <c r="BU1" s="238"/>
      <c r="BV1" s="238"/>
      <c r="BW1" s="238"/>
      <c r="BX1" s="238"/>
      <c r="BY1" s="238"/>
      <c r="BZ1" s="238"/>
      <c r="CA1" s="238"/>
      <c r="CB1" s="238"/>
      <c r="CC1" s="239"/>
    </row>
    <row r="2" spans="1:81" s="240" customFormat="1" ht="10.5" customHeight="1" x14ac:dyDescent="0.25">
      <c r="A2" s="241"/>
      <c r="B2" s="233"/>
      <c r="C2" s="234"/>
      <c r="D2" s="235"/>
      <c r="E2" s="236"/>
      <c r="F2" s="235"/>
      <c r="G2" s="235"/>
      <c r="H2" s="235"/>
      <c r="I2" s="235"/>
      <c r="J2" s="235"/>
      <c r="K2" s="235"/>
      <c r="L2" s="235"/>
      <c r="M2" s="235"/>
      <c r="N2" s="242"/>
      <c r="O2" s="235"/>
      <c r="P2" s="235"/>
      <c r="Q2" s="235"/>
      <c r="R2" s="235"/>
      <c r="S2" s="237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  <c r="AH2" s="238"/>
      <c r="AI2" s="238"/>
      <c r="AJ2" s="238"/>
      <c r="AK2" s="238"/>
      <c r="AL2" s="238"/>
      <c r="AM2" s="238"/>
      <c r="AN2" s="238"/>
      <c r="AO2" s="238"/>
      <c r="AP2" s="238"/>
      <c r="AQ2" s="238"/>
      <c r="AR2" s="238"/>
      <c r="AS2" s="238"/>
      <c r="AT2" s="238"/>
      <c r="AU2" s="238"/>
      <c r="AV2" s="238"/>
      <c r="AW2" s="238"/>
      <c r="AX2" s="238"/>
      <c r="AY2" s="238"/>
      <c r="AZ2" s="238"/>
      <c r="BA2" s="238"/>
      <c r="BB2" s="238"/>
      <c r="BC2" s="238"/>
      <c r="BD2" s="238"/>
      <c r="BE2" s="238"/>
      <c r="BF2" s="238"/>
      <c r="BG2" s="238"/>
      <c r="BH2" s="238"/>
      <c r="BI2" s="238"/>
      <c r="BJ2" s="238"/>
      <c r="BK2" s="238"/>
      <c r="BL2" s="238"/>
      <c r="BM2" s="238"/>
      <c r="BN2" s="238"/>
      <c r="BO2" s="238"/>
      <c r="BP2" s="238"/>
      <c r="BQ2" s="238"/>
      <c r="BR2" s="238"/>
      <c r="BS2" s="238"/>
      <c r="BT2" s="238"/>
      <c r="BU2" s="238"/>
      <c r="BV2" s="238"/>
      <c r="BW2" s="238"/>
      <c r="BX2" s="238"/>
      <c r="BY2" s="238"/>
      <c r="BZ2" s="238"/>
      <c r="CA2" s="238"/>
      <c r="CB2" s="238"/>
      <c r="CC2" s="239"/>
    </row>
    <row r="3" spans="1:81" s="251" customFormat="1" ht="40.5" customHeight="1" thickBot="1" x14ac:dyDescent="0.25">
      <c r="A3" s="243" t="s">
        <v>279</v>
      </c>
      <c r="B3" s="244"/>
      <c r="C3" s="245"/>
      <c r="D3" s="244"/>
      <c r="E3" s="246"/>
      <c r="F3" s="244"/>
      <c r="G3" s="244"/>
      <c r="H3" s="244"/>
      <c r="I3" s="247"/>
      <c r="J3" s="247"/>
      <c r="K3" s="247"/>
      <c r="L3" s="247"/>
      <c r="M3" s="247"/>
      <c r="N3" s="244"/>
      <c r="O3" s="244"/>
      <c r="P3" s="244"/>
      <c r="Q3" s="244"/>
      <c r="R3" s="244"/>
      <c r="S3" s="248"/>
      <c r="T3" s="249"/>
      <c r="U3" s="249"/>
      <c r="V3" s="249"/>
      <c r="W3" s="249"/>
      <c r="X3" s="249"/>
      <c r="Y3" s="249"/>
      <c r="Z3" s="249"/>
      <c r="AA3" s="249"/>
      <c r="AB3" s="249"/>
      <c r="AC3" s="249"/>
      <c r="AD3" s="249"/>
      <c r="AE3" s="249"/>
      <c r="AF3" s="249"/>
      <c r="AG3" s="249"/>
      <c r="AH3" s="249"/>
      <c r="AI3" s="249"/>
      <c r="AJ3" s="249"/>
      <c r="AK3" s="249"/>
      <c r="AL3" s="249"/>
      <c r="AM3" s="249"/>
      <c r="AN3" s="249"/>
      <c r="AO3" s="249"/>
      <c r="AP3" s="249"/>
      <c r="AQ3" s="249"/>
      <c r="AR3" s="249"/>
      <c r="AS3" s="249"/>
      <c r="AT3" s="249"/>
      <c r="AU3" s="249"/>
      <c r="AV3" s="249"/>
      <c r="AW3" s="249"/>
      <c r="AX3" s="249"/>
      <c r="AY3" s="249"/>
      <c r="AZ3" s="249"/>
      <c r="BA3" s="249"/>
      <c r="BB3" s="249"/>
      <c r="BC3" s="249"/>
      <c r="BD3" s="249"/>
      <c r="BE3" s="249"/>
      <c r="BF3" s="249"/>
      <c r="BG3" s="249"/>
      <c r="BH3" s="249"/>
      <c r="BI3" s="249"/>
      <c r="BJ3" s="249"/>
      <c r="BK3" s="249"/>
      <c r="BL3" s="249"/>
      <c r="BM3" s="249"/>
      <c r="BN3" s="249"/>
      <c r="BO3" s="249"/>
      <c r="BP3" s="249"/>
      <c r="BQ3" s="249"/>
      <c r="BR3" s="249"/>
      <c r="BS3" s="249"/>
      <c r="BT3" s="249"/>
      <c r="BU3" s="249"/>
      <c r="BV3" s="249"/>
      <c r="BW3" s="249"/>
      <c r="BX3" s="249"/>
      <c r="BY3" s="249"/>
      <c r="BZ3" s="249"/>
      <c r="CA3" s="249"/>
      <c r="CB3" s="249"/>
      <c r="CC3" s="250"/>
    </row>
    <row r="4" spans="1:81" s="252" customFormat="1" ht="44.25" customHeight="1" x14ac:dyDescent="0.2">
      <c r="A4" s="3161" t="s">
        <v>32</v>
      </c>
      <c r="B4" s="3164" t="s">
        <v>33</v>
      </c>
      <c r="C4" s="3167" t="s">
        <v>34</v>
      </c>
      <c r="D4" s="2717" t="s">
        <v>360</v>
      </c>
      <c r="E4" s="2718"/>
      <c r="F4" s="2718"/>
      <c r="G4" s="2718"/>
      <c r="H4" s="2719"/>
      <c r="I4" s="2927"/>
      <c r="J4" s="2928"/>
      <c r="K4" s="2928"/>
      <c r="L4" s="2928"/>
      <c r="M4" s="2929"/>
      <c r="N4" s="2930" t="s">
        <v>214</v>
      </c>
      <c r="O4" s="2718"/>
      <c r="P4" s="2718"/>
      <c r="Q4" s="2718"/>
      <c r="R4" s="2718"/>
      <c r="S4" s="2719"/>
    </row>
    <row r="5" spans="1:81" s="239" customFormat="1" ht="28.5" customHeight="1" x14ac:dyDescent="0.2">
      <c r="A5" s="3162"/>
      <c r="B5" s="3165"/>
      <c r="C5" s="3168"/>
      <c r="D5" s="2931" t="s">
        <v>0</v>
      </c>
      <c r="E5" s="2934" t="s">
        <v>215</v>
      </c>
      <c r="F5" s="2935" t="s">
        <v>216</v>
      </c>
      <c r="G5" s="2917" t="s">
        <v>349</v>
      </c>
      <c r="H5" s="2918"/>
      <c r="I5" s="2937" t="s">
        <v>0</v>
      </c>
      <c r="J5" s="2919" t="s">
        <v>215</v>
      </c>
      <c r="K5" s="2940" t="s">
        <v>216</v>
      </c>
      <c r="L5" s="2919" t="s">
        <v>308</v>
      </c>
      <c r="M5" s="2943" t="s">
        <v>304</v>
      </c>
      <c r="N5" s="2944" t="s">
        <v>217</v>
      </c>
      <c r="O5" s="2720" t="s">
        <v>359</v>
      </c>
      <c r="P5" s="2721"/>
      <c r="Q5" s="2721"/>
      <c r="R5" s="2788"/>
      <c r="S5" s="2945" t="s">
        <v>35</v>
      </c>
    </row>
    <row r="6" spans="1:81" s="239" customFormat="1" ht="29.25" customHeight="1" x14ac:dyDescent="0.2">
      <c r="A6" s="3162"/>
      <c r="B6" s="3165"/>
      <c r="C6" s="3168"/>
      <c r="D6" s="2932"/>
      <c r="E6" s="2932"/>
      <c r="F6" s="2935"/>
      <c r="G6" s="2753" t="s">
        <v>358</v>
      </c>
      <c r="H6" s="2761" t="s">
        <v>304</v>
      </c>
      <c r="I6" s="2938"/>
      <c r="J6" s="2920"/>
      <c r="K6" s="2941"/>
      <c r="L6" s="2920"/>
      <c r="M6" s="2733"/>
      <c r="N6" s="2753"/>
      <c r="O6" s="2753" t="s">
        <v>355</v>
      </c>
      <c r="P6" s="2753" t="s">
        <v>218</v>
      </c>
      <c r="Q6" s="2753" t="s">
        <v>356</v>
      </c>
      <c r="R6" s="2709" t="s">
        <v>219</v>
      </c>
      <c r="S6" s="2946"/>
    </row>
    <row r="7" spans="1:81" s="239" customFormat="1" ht="72" customHeight="1" thickBot="1" x14ac:dyDescent="0.25">
      <c r="A7" s="3163"/>
      <c r="B7" s="3166"/>
      <c r="C7" s="3169"/>
      <c r="D7" s="2933"/>
      <c r="E7" s="2933"/>
      <c r="F7" s="2936"/>
      <c r="G7" s="2755"/>
      <c r="H7" s="2762"/>
      <c r="I7" s="2939"/>
      <c r="J7" s="2921"/>
      <c r="K7" s="2942"/>
      <c r="L7" s="2921"/>
      <c r="M7" s="2735"/>
      <c r="N7" s="2755"/>
      <c r="O7" s="2755"/>
      <c r="P7" s="2755"/>
      <c r="Q7" s="2755"/>
      <c r="R7" s="2710"/>
      <c r="S7" s="2787"/>
    </row>
    <row r="8" spans="1:81" s="262" customFormat="1" ht="14.25" customHeight="1" thickBot="1" x14ac:dyDescent="0.25">
      <c r="A8" s="253">
        <v>1</v>
      </c>
      <c r="B8" s="254">
        <v>2</v>
      </c>
      <c r="C8" s="255">
        <v>3</v>
      </c>
      <c r="D8" s="256">
        <v>4</v>
      </c>
      <c r="E8" s="256"/>
      <c r="F8" s="257"/>
      <c r="G8" s="257">
        <v>5</v>
      </c>
      <c r="H8" s="258">
        <v>6</v>
      </c>
      <c r="I8" s="259">
        <v>7</v>
      </c>
      <c r="J8" s="259"/>
      <c r="K8" s="259"/>
      <c r="L8" s="259"/>
      <c r="M8" s="258"/>
      <c r="N8" s="259">
        <v>7</v>
      </c>
      <c r="O8" s="257">
        <v>8</v>
      </c>
      <c r="P8" s="257">
        <v>9</v>
      </c>
      <c r="Q8" s="257">
        <v>10</v>
      </c>
      <c r="R8" s="259">
        <v>14</v>
      </c>
      <c r="S8" s="260">
        <v>11</v>
      </c>
      <c r="T8" s="261"/>
      <c r="U8" s="261"/>
      <c r="V8" s="261"/>
      <c r="W8" s="261"/>
      <c r="X8" s="261"/>
      <c r="Y8" s="261"/>
      <c r="Z8" s="261"/>
      <c r="AA8" s="261"/>
      <c r="AB8" s="261"/>
      <c r="AC8" s="261"/>
      <c r="AD8" s="261"/>
      <c r="AE8" s="261"/>
      <c r="AF8" s="261"/>
      <c r="AG8" s="261"/>
      <c r="AH8" s="261"/>
      <c r="AI8" s="261"/>
      <c r="AJ8" s="261"/>
      <c r="AK8" s="261"/>
      <c r="AL8" s="261"/>
      <c r="AM8" s="261"/>
      <c r="AN8" s="261"/>
      <c r="AO8" s="261"/>
      <c r="AP8" s="261"/>
      <c r="AQ8" s="261"/>
      <c r="AR8" s="261"/>
      <c r="AS8" s="261"/>
      <c r="AT8" s="261"/>
      <c r="AU8" s="261"/>
      <c r="AV8" s="261"/>
      <c r="AW8" s="261"/>
      <c r="AX8" s="261"/>
      <c r="AY8" s="261"/>
      <c r="AZ8" s="261"/>
      <c r="BA8" s="261"/>
      <c r="BB8" s="261"/>
      <c r="BC8" s="261"/>
      <c r="BD8" s="261"/>
      <c r="BE8" s="261"/>
      <c r="BF8" s="261"/>
      <c r="BG8" s="261"/>
      <c r="BH8" s="261"/>
      <c r="BI8" s="261"/>
      <c r="BJ8" s="261"/>
      <c r="BK8" s="261"/>
      <c r="BL8" s="261"/>
      <c r="BM8" s="261"/>
      <c r="BN8" s="261"/>
      <c r="BO8" s="261"/>
      <c r="BP8" s="261"/>
      <c r="BQ8" s="261"/>
      <c r="BR8" s="261"/>
      <c r="BS8" s="261"/>
      <c r="BT8" s="261"/>
      <c r="BU8" s="261"/>
      <c r="BV8" s="261"/>
      <c r="BW8" s="261"/>
      <c r="BX8" s="261"/>
      <c r="BY8" s="261"/>
      <c r="BZ8" s="261"/>
      <c r="CA8" s="261"/>
      <c r="CB8" s="261"/>
      <c r="CC8" s="261"/>
    </row>
    <row r="9" spans="1:81" ht="18" customHeight="1" thickBot="1" x14ac:dyDescent="0.25">
      <c r="A9" s="263"/>
      <c r="B9" s="264" t="s">
        <v>220</v>
      </c>
      <c r="C9" s="265"/>
      <c r="D9" s="36">
        <f t="shared" ref="D9:H9" si="0">D10+D11</f>
        <v>58243287</v>
      </c>
      <c r="E9" s="36">
        <f t="shared" si="0"/>
        <v>11414062</v>
      </c>
      <c r="F9" s="36">
        <f t="shared" si="0"/>
        <v>6479519</v>
      </c>
      <c r="G9" s="36">
        <f t="shared" si="0"/>
        <v>26678010</v>
      </c>
      <c r="H9" s="37">
        <f t="shared" si="0"/>
        <v>13671696</v>
      </c>
      <c r="I9" s="35">
        <f t="shared" ref="I9:N9" si="1">I10+I11</f>
        <v>57543622</v>
      </c>
      <c r="J9" s="36">
        <f t="shared" si="1"/>
        <v>11414062</v>
      </c>
      <c r="K9" s="36">
        <f t="shared" si="1"/>
        <v>5779854</v>
      </c>
      <c r="L9" s="36">
        <f t="shared" si="1"/>
        <v>26678010</v>
      </c>
      <c r="M9" s="37">
        <f t="shared" si="1"/>
        <v>13671696</v>
      </c>
      <c r="N9" s="266">
        <f t="shared" si="1"/>
        <v>17871362</v>
      </c>
      <c r="O9" s="267">
        <f>N9/D9*100</f>
        <v>30.683985950174826</v>
      </c>
      <c r="P9" s="268">
        <f>P10+P11</f>
        <v>677446</v>
      </c>
      <c r="Q9" s="267">
        <f>P9/G9*100</f>
        <v>2.5393423272575428</v>
      </c>
      <c r="R9" s="36">
        <f>+P9-L9*0.25</f>
        <v>-5992056.5</v>
      </c>
      <c r="S9" s="269"/>
      <c r="T9" s="270"/>
      <c r="U9" s="239"/>
      <c r="V9" s="239"/>
      <c r="W9" s="239"/>
      <c r="X9" s="239"/>
      <c r="Y9" s="239"/>
      <c r="Z9" s="239"/>
      <c r="AA9" s="239"/>
      <c r="AB9" s="239"/>
      <c r="AC9" s="239"/>
      <c r="AD9" s="239"/>
      <c r="AE9" s="239"/>
      <c r="AF9" s="239"/>
      <c r="AG9" s="239"/>
      <c r="AH9" s="239"/>
      <c r="AI9" s="239"/>
      <c r="AJ9" s="239"/>
      <c r="AK9" s="239"/>
      <c r="AL9" s="239"/>
      <c r="AM9" s="239"/>
      <c r="AN9" s="239"/>
      <c r="AO9" s="239"/>
      <c r="AP9" s="239"/>
      <c r="AQ9" s="239"/>
      <c r="AR9" s="239"/>
      <c r="AS9" s="239"/>
      <c r="AT9" s="239"/>
      <c r="AU9" s="239"/>
      <c r="AV9" s="239"/>
      <c r="AW9" s="239"/>
      <c r="AX9" s="239"/>
      <c r="AY9" s="239"/>
      <c r="AZ9" s="239"/>
      <c r="BA9" s="239"/>
      <c r="BB9" s="239"/>
      <c r="BC9" s="239"/>
      <c r="BD9" s="239"/>
      <c r="BE9" s="239"/>
      <c r="BF9" s="239"/>
      <c r="BG9" s="239"/>
      <c r="BH9" s="239"/>
      <c r="BI9" s="239"/>
      <c r="BJ9" s="239"/>
      <c r="BK9" s="239"/>
      <c r="BL9" s="239"/>
      <c r="BM9" s="239"/>
      <c r="BN9" s="239"/>
      <c r="BO9" s="239"/>
      <c r="BP9" s="239"/>
      <c r="BQ9" s="239"/>
      <c r="BR9" s="239"/>
      <c r="BS9" s="239"/>
    </row>
    <row r="10" spans="1:81" ht="14.25" customHeight="1" thickTop="1" x14ac:dyDescent="0.2">
      <c r="A10" s="272"/>
      <c r="B10" s="273" t="s">
        <v>221</v>
      </c>
      <c r="C10" s="274"/>
      <c r="D10" s="275">
        <v>0</v>
      </c>
      <c r="E10" s="276">
        <v>0</v>
      </c>
      <c r="F10" s="275">
        <v>0</v>
      </c>
      <c r="G10" s="275">
        <v>0</v>
      </c>
      <c r="H10" s="277">
        <v>0</v>
      </c>
      <c r="I10" s="278">
        <v>0</v>
      </c>
      <c r="J10" s="276">
        <v>0</v>
      </c>
      <c r="K10" s="275">
        <v>0</v>
      </c>
      <c r="L10" s="275">
        <v>0</v>
      </c>
      <c r="M10" s="277">
        <v>0</v>
      </c>
      <c r="N10" s="279">
        <v>0</v>
      </c>
      <c r="O10" s="280">
        <v>0</v>
      </c>
      <c r="P10" s="281">
        <v>0</v>
      </c>
      <c r="Q10" s="280">
        <v>0</v>
      </c>
      <c r="R10" s="275">
        <v>0</v>
      </c>
      <c r="S10" s="269"/>
      <c r="T10" s="270"/>
      <c r="U10" s="239"/>
      <c r="V10" s="239"/>
      <c r="W10" s="239"/>
      <c r="X10" s="239"/>
      <c r="Y10" s="239"/>
      <c r="Z10" s="239"/>
      <c r="AA10" s="239"/>
      <c r="AB10" s="239"/>
      <c r="AC10" s="239"/>
      <c r="AD10" s="239"/>
      <c r="AE10" s="239"/>
      <c r="AF10" s="239"/>
      <c r="AG10" s="239"/>
      <c r="AH10" s="239"/>
      <c r="AI10" s="239"/>
      <c r="AJ10" s="239"/>
      <c r="AK10" s="239"/>
      <c r="AL10" s="239"/>
      <c r="AM10" s="239"/>
      <c r="AN10" s="239"/>
      <c r="AO10" s="239"/>
      <c r="AP10" s="239"/>
      <c r="AQ10" s="239"/>
      <c r="AR10" s="239"/>
      <c r="AS10" s="239"/>
      <c r="AT10" s="239"/>
      <c r="AU10" s="239"/>
      <c r="AV10" s="239"/>
      <c r="AW10" s="239"/>
      <c r="AX10" s="239"/>
      <c r="AY10" s="239"/>
      <c r="AZ10" s="239"/>
      <c r="BA10" s="239"/>
      <c r="BB10" s="239"/>
      <c r="BC10" s="239"/>
      <c r="BD10" s="239"/>
      <c r="BE10" s="239"/>
      <c r="BF10" s="239"/>
      <c r="BG10" s="239"/>
      <c r="BH10" s="239"/>
      <c r="BI10" s="239"/>
      <c r="BJ10" s="239"/>
      <c r="BK10" s="239"/>
      <c r="BL10" s="239"/>
      <c r="BM10" s="239"/>
      <c r="BN10" s="239"/>
      <c r="BO10" s="239"/>
      <c r="BP10" s="239"/>
      <c r="BQ10" s="239"/>
      <c r="BR10" s="239"/>
      <c r="BS10" s="239"/>
    </row>
    <row r="11" spans="1:81" ht="14.25" customHeight="1" thickBot="1" x14ac:dyDescent="0.25">
      <c r="A11" s="282"/>
      <c r="B11" s="283" t="s">
        <v>222</v>
      </c>
      <c r="C11" s="284"/>
      <c r="D11" s="285">
        <f t="shared" ref="D11:H11" si="2">D26+D36+D47+D58+D62+D70+D82</f>
        <v>58243287</v>
      </c>
      <c r="E11" s="286">
        <f t="shared" si="2"/>
        <v>11414062</v>
      </c>
      <c r="F11" s="286">
        <f t="shared" si="2"/>
        <v>6479519</v>
      </c>
      <c r="G11" s="286">
        <f t="shared" si="2"/>
        <v>26678010</v>
      </c>
      <c r="H11" s="285">
        <f t="shared" si="2"/>
        <v>13671696</v>
      </c>
      <c r="I11" s="287">
        <f t="shared" ref="I11:N11" si="3">I26+I36+I47+I58+I62+I70+I82</f>
        <v>57543622</v>
      </c>
      <c r="J11" s="286">
        <f t="shared" si="3"/>
        <v>11414062</v>
      </c>
      <c r="K11" s="286">
        <f t="shared" si="3"/>
        <v>5779854</v>
      </c>
      <c r="L11" s="286">
        <f t="shared" si="3"/>
        <v>26678010</v>
      </c>
      <c r="M11" s="285">
        <f t="shared" si="3"/>
        <v>13671696</v>
      </c>
      <c r="N11" s="287">
        <f t="shared" si="3"/>
        <v>17871362</v>
      </c>
      <c r="O11" s="288">
        <f t="shared" ref="O11:O73" si="4">N11/D11*100</f>
        <v>30.683985950174826</v>
      </c>
      <c r="P11" s="289">
        <f>P26+P36+P47+P58+P62+P70+P82</f>
        <v>677446</v>
      </c>
      <c r="Q11" s="290">
        <f t="shared" ref="Q11:Q62" si="5">P11/G11*100</f>
        <v>2.5393423272575428</v>
      </c>
      <c r="R11" s="291">
        <f>+P11-L11*0.25</f>
        <v>-5992056.5</v>
      </c>
      <c r="S11" s="269"/>
      <c r="T11" s="270"/>
      <c r="U11" s="239"/>
      <c r="V11" s="239"/>
      <c r="W11" s="239"/>
      <c r="X11" s="239"/>
      <c r="Y11" s="239"/>
      <c r="Z11" s="239"/>
      <c r="AA11" s="239"/>
      <c r="AB11" s="239"/>
      <c r="AC11" s="239"/>
      <c r="AD11" s="239"/>
      <c r="AE11" s="239"/>
      <c r="AF11" s="239"/>
      <c r="AG11" s="239"/>
      <c r="AH11" s="239"/>
      <c r="AI11" s="239"/>
      <c r="AJ11" s="239"/>
      <c r="AK11" s="239"/>
      <c r="AL11" s="239"/>
      <c r="AM11" s="239"/>
      <c r="AN11" s="239"/>
      <c r="AO11" s="239"/>
      <c r="AP11" s="239"/>
      <c r="AQ11" s="239"/>
      <c r="AR11" s="239"/>
      <c r="AS11" s="239"/>
      <c r="AT11" s="239"/>
      <c r="AU11" s="239"/>
      <c r="AV11" s="239"/>
      <c r="AW11" s="239"/>
      <c r="AX11" s="239"/>
      <c r="AY11" s="239"/>
      <c r="AZ11" s="239"/>
      <c r="BA11" s="239"/>
      <c r="BB11" s="239"/>
      <c r="BC11" s="239"/>
      <c r="BD11" s="239"/>
      <c r="BE11" s="239"/>
      <c r="BF11" s="239"/>
      <c r="BG11" s="239"/>
      <c r="BH11" s="239"/>
      <c r="BI11" s="239"/>
      <c r="BJ11" s="239"/>
      <c r="BK11" s="239"/>
      <c r="BL11" s="239"/>
      <c r="BM11" s="239"/>
      <c r="BN11" s="239"/>
      <c r="BO11" s="239"/>
      <c r="BP11" s="239"/>
      <c r="BQ11" s="239"/>
      <c r="BR11" s="239"/>
      <c r="BS11" s="239"/>
    </row>
    <row r="12" spans="1:81" s="301" customFormat="1" ht="15" customHeight="1" x14ac:dyDescent="0.2">
      <c r="A12" s="3183"/>
      <c r="B12" s="292" t="s">
        <v>3</v>
      </c>
      <c r="C12" s="293"/>
      <c r="D12" s="294">
        <f t="shared" ref="D12:H12" si="6">+D13+D16</f>
        <v>130669394</v>
      </c>
      <c r="E12" s="295">
        <f t="shared" si="6"/>
        <v>12560088</v>
      </c>
      <c r="F12" s="295">
        <f t="shared" si="6"/>
        <v>12985854</v>
      </c>
      <c r="G12" s="295">
        <f t="shared" si="6"/>
        <v>60294902</v>
      </c>
      <c r="H12" s="296">
        <f t="shared" si="6"/>
        <v>44828550</v>
      </c>
      <c r="I12" s="295">
        <f t="shared" ref="I12:M12" si="7">+I13+I16</f>
        <v>131420099</v>
      </c>
      <c r="J12" s="295">
        <f t="shared" si="7"/>
        <v>12560088</v>
      </c>
      <c r="K12" s="295">
        <f t="shared" si="7"/>
        <v>13736559</v>
      </c>
      <c r="L12" s="295">
        <f t="shared" si="7"/>
        <v>60294902</v>
      </c>
      <c r="M12" s="296">
        <f t="shared" si="7"/>
        <v>44828550</v>
      </c>
      <c r="N12" s="297">
        <f>+N13+N16</f>
        <v>27363202</v>
      </c>
      <c r="O12" s="298">
        <f t="shared" si="4"/>
        <v>20.940788934859526</v>
      </c>
      <c r="P12" s="299">
        <f>+P13+P16</f>
        <v>1066555</v>
      </c>
      <c r="Q12" s="298">
        <f t="shared" si="5"/>
        <v>1.7688974766058994</v>
      </c>
      <c r="R12" s="295">
        <f>+P12-L12*0.25</f>
        <v>-14007170.5</v>
      </c>
      <c r="S12" s="3173"/>
      <c r="T12" s="300"/>
      <c r="U12" s="300"/>
      <c r="V12" s="300"/>
      <c r="W12" s="300"/>
      <c r="X12" s="239"/>
      <c r="Y12" s="239"/>
      <c r="Z12" s="239"/>
      <c r="AA12" s="239"/>
      <c r="AB12" s="239"/>
      <c r="AC12" s="239"/>
      <c r="AD12" s="239"/>
      <c r="AE12" s="239"/>
      <c r="AF12" s="239"/>
      <c r="AG12" s="239"/>
      <c r="AH12" s="239"/>
      <c r="AI12" s="239"/>
      <c r="AJ12" s="239"/>
      <c r="AK12" s="239"/>
      <c r="AL12" s="239"/>
      <c r="AM12" s="239"/>
      <c r="AN12" s="239"/>
      <c r="AO12" s="239"/>
      <c r="AP12" s="239"/>
      <c r="AQ12" s="239"/>
      <c r="AR12" s="239"/>
      <c r="AS12" s="239"/>
      <c r="AT12" s="239"/>
      <c r="AU12" s="239"/>
      <c r="AV12" s="239"/>
      <c r="AW12" s="239"/>
      <c r="AX12" s="239"/>
      <c r="AY12" s="239"/>
      <c r="AZ12" s="239"/>
      <c r="BA12" s="239"/>
      <c r="BB12" s="239"/>
      <c r="BC12" s="239"/>
      <c r="BD12" s="239"/>
      <c r="BE12" s="239"/>
      <c r="BF12" s="239"/>
      <c r="BG12" s="239"/>
      <c r="BH12" s="239"/>
      <c r="BI12" s="239"/>
      <c r="BJ12" s="239"/>
      <c r="BK12" s="239"/>
      <c r="BL12" s="239"/>
      <c r="BM12" s="239"/>
      <c r="BN12" s="239"/>
      <c r="BO12" s="239"/>
      <c r="BP12" s="239"/>
      <c r="BQ12" s="239"/>
      <c r="BR12" s="239"/>
      <c r="BS12" s="239"/>
      <c r="BT12" s="239"/>
      <c r="BU12" s="239"/>
      <c r="BV12" s="239"/>
      <c r="BW12" s="239"/>
      <c r="BX12" s="239"/>
      <c r="BY12" s="239"/>
      <c r="BZ12" s="239"/>
      <c r="CA12" s="239"/>
      <c r="CB12" s="239"/>
      <c r="CC12" s="239"/>
    </row>
    <row r="13" spans="1:81" s="301" customFormat="1" ht="14.1" customHeight="1" x14ac:dyDescent="0.2">
      <c r="A13" s="3183"/>
      <c r="B13" s="302" t="s">
        <v>4</v>
      </c>
      <c r="C13" s="3170" t="s">
        <v>97</v>
      </c>
      <c r="D13" s="303">
        <f t="shared" ref="D13:H13" si="8">+D15+D14</f>
        <v>58583333</v>
      </c>
      <c r="E13" s="304">
        <f t="shared" si="8"/>
        <v>11671300</v>
      </c>
      <c r="F13" s="304">
        <f t="shared" si="8"/>
        <v>6562327</v>
      </c>
      <c r="G13" s="304">
        <f t="shared" si="8"/>
        <v>26678010</v>
      </c>
      <c r="H13" s="305">
        <f t="shared" si="8"/>
        <v>13671696</v>
      </c>
      <c r="I13" s="304">
        <f t="shared" ref="I13:N13" si="9">+I15+I14</f>
        <v>57836955</v>
      </c>
      <c r="J13" s="304">
        <f t="shared" si="9"/>
        <v>11671300</v>
      </c>
      <c r="K13" s="304">
        <f t="shared" si="9"/>
        <v>5815949</v>
      </c>
      <c r="L13" s="304">
        <f t="shared" si="9"/>
        <v>26678010</v>
      </c>
      <c r="M13" s="305">
        <f t="shared" si="9"/>
        <v>13671696</v>
      </c>
      <c r="N13" s="306">
        <f t="shared" si="9"/>
        <v>18189312</v>
      </c>
      <c r="O13" s="307">
        <f t="shared" si="4"/>
        <v>31.048612409949435</v>
      </c>
      <c r="P13" s="308">
        <f>+P15+P14</f>
        <v>702063</v>
      </c>
      <c r="Q13" s="307">
        <f t="shared" si="5"/>
        <v>2.6316168259926433</v>
      </c>
      <c r="R13" s="304">
        <f t="shared" ref="R13:R68" si="10">+P13-L13*0.25</f>
        <v>-5967439.5</v>
      </c>
      <c r="S13" s="3173"/>
      <c r="T13" s="300"/>
      <c r="U13" s="300"/>
      <c r="V13" s="300"/>
      <c r="W13" s="300"/>
      <c r="X13" s="239"/>
      <c r="Y13" s="239"/>
      <c r="Z13" s="239"/>
      <c r="AA13" s="239"/>
      <c r="AB13" s="239"/>
      <c r="AC13" s="239"/>
      <c r="AD13" s="239"/>
      <c r="AE13" s="239"/>
      <c r="AF13" s="239"/>
      <c r="AG13" s="239"/>
      <c r="AH13" s="239"/>
      <c r="AI13" s="239"/>
      <c r="AJ13" s="239"/>
      <c r="AK13" s="239"/>
      <c r="AL13" s="239"/>
      <c r="AM13" s="239"/>
      <c r="AN13" s="239"/>
      <c r="AO13" s="239"/>
      <c r="AP13" s="239"/>
      <c r="AQ13" s="239"/>
      <c r="AR13" s="239"/>
      <c r="AS13" s="239"/>
      <c r="AT13" s="239"/>
      <c r="AU13" s="239"/>
      <c r="AV13" s="239"/>
      <c r="AW13" s="239"/>
      <c r="AX13" s="239"/>
      <c r="AY13" s="239"/>
      <c r="AZ13" s="239"/>
      <c r="BA13" s="239"/>
      <c r="BB13" s="239"/>
      <c r="BC13" s="239"/>
      <c r="BD13" s="239"/>
      <c r="BE13" s="239"/>
      <c r="BF13" s="239"/>
      <c r="BG13" s="239"/>
      <c r="BH13" s="239"/>
      <c r="BI13" s="239"/>
      <c r="BJ13" s="239"/>
      <c r="BK13" s="239"/>
      <c r="BL13" s="239"/>
      <c r="BM13" s="239"/>
      <c r="BN13" s="239"/>
      <c r="BO13" s="239"/>
      <c r="BP13" s="239"/>
      <c r="BQ13" s="239"/>
      <c r="BR13" s="239"/>
      <c r="BS13" s="239"/>
      <c r="BT13" s="239"/>
      <c r="BU13" s="239"/>
      <c r="BV13" s="239"/>
      <c r="BW13" s="239"/>
      <c r="BX13" s="239"/>
      <c r="BY13" s="239"/>
      <c r="BZ13" s="239"/>
      <c r="CA13" s="239"/>
      <c r="CB13" s="239"/>
      <c r="CC13" s="239"/>
    </row>
    <row r="14" spans="1:81" s="301" customFormat="1" ht="14.1" customHeight="1" x14ac:dyDescent="0.2">
      <c r="A14" s="3183"/>
      <c r="B14" s="309" t="s">
        <v>7</v>
      </c>
      <c r="C14" s="3170"/>
      <c r="D14" s="310">
        <f t="shared" ref="D14:H14" si="11">+D69+D35</f>
        <v>340046</v>
      </c>
      <c r="E14" s="311">
        <f t="shared" si="11"/>
        <v>257238</v>
      </c>
      <c r="F14" s="311">
        <f t="shared" si="11"/>
        <v>82808</v>
      </c>
      <c r="G14" s="312">
        <f t="shared" si="11"/>
        <v>0</v>
      </c>
      <c r="H14" s="313">
        <f t="shared" si="11"/>
        <v>0</v>
      </c>
      <c r="I14" s="311">
        <f t="shared" ref="I14:N14" si="12">+I69+I35</f>
        <v>293333</v>
      </c>
      <c r="J14" s="311">
        <f t="shared" si="12"/>
        <v>257238</v>
      </c>
      <c r="K14" s="311">
        <f t="shared" si="12"/>
        <v>36095</v>
      </c>
      <c r="L14" s="311">
        <f t="shared" si="12"/>
        <v>0</v>
      </c>
      <c r="M14" s="314">
        <f t="shared" si="12"/>
        <v>0</v>
      </c>
      <c r="N14" s="315">
        <f t="shared" si="12"/>
        <v>317950</v>
      </c>
      <c r="O14" s="307">
        <f t="shared" si="4"/>
        <v>93.502055604241775</v>
      </c>
      <c r="P14" s="316">
        <f>+P69+P35</f>
        <v>24617</v>
      </c>
      <c r="Q14" s="317">
        <v>0</v>
      </c>
      <c r="R14" s="311">
        <f t="shared" si="10"/>
        <v>24617</v>
      </c>
      <c r="S14" s="3173"/>
      <c r="T14" s="300"/>
      <c r="U14" s="300"/>
      <c r="V14" s="300"/>
      <c r="W14" s="300"/>
      <c r="X14" s="300"/>
      <c r="Y14" s="300"/>
      <c r="Z14" s="239"/>
      <c r="AA14" s="239"/>
      <c r="AB14" s="239"/>
      <c r="AC14" s="239"/>
      <c r="AD14" s="239"/>
      <c r="AE14" s="239"/>
      <c r="AF14" s="239"/>
      <c r="AG14" s="239"/>
      <c r="AH14" s="239"/>
      <c r="AI14" s="239"/>
      <c r="AJ14" s="239"/>
      <c r="AK14" s="239"/>
      <c r="AL14" s="239"/>
      <c r="AM14" s="239"/>
      <c r="AN14" s="239"/>
      <c r="AO14" s="239"/>
      <c r="AP14" s="239"/>
      <c r="AQ14" s="239"/>
      <c r="AR14" s="239"/>
      <c r="AS14" s="239"/>
      <c r="AT14" s="239"/>
      <c r="AU14" s="239"/>
      <c r="AV14" s="239"/>
      <c r="AW14" s="239"/>
      <c r="AX14" s="239"/>
      <c r="AY14" s="239"/>
      <c r="AZ14" s="239"/>
      <c r="BA14" s="239"/>
      <c r="BB14" s="239"/>
      <c r="BC14" s="239"/>
      <c r="BD14" s="239"/>
      <c r="BE14" s="239"/>
      <c r="BF14" s="239"/>
      <c r="BG14" s="239"/>
      <c r="BH14" s="239"/>
      <c r="BI14" s="239"/>
      <c r="BJ14" s="239"/>
      <c r="BK14" s="239"/>
      <c r="BL14" s="239"/>
      <c r="BM14" s="239"/>
      <c r="BN14" s="239"/>
      <c r="BO14" s="239"/>
      <c r="BP14" s="239"/>
      <c r="BQ14" s="239"/>
      <c r="BR14" s="239"/>
      <c r="BS14" s="239"/>
      <c r="BT14" s="239"/>
      <c r="BU14" s="239"/>
      <c r="BV14" s="239"/>
      <c r="BW14" s="239"/>
      <c r="BX14" s="239"/>
      <c r="BY14" s="239"/>
      <c r="BZ14" s="239"/>
      <c r="CA14" s="239"/>
      <c r="CB14" s="239"/>
      <c r="CC14" s="239"/>
    </row>
    <row r="15" spans="1:81" s="301" customFormat="1" ht="14.1" customHeight="1" x14ac:dyDescent="0.2">
      <c r="A15" s="3183"/>
      <c r="B15" s="318" t="s">
        <v>197</v>
      </c>
      <c r="C15" s="3170"/>
      <c r="D15" s="310">
        <f t="shared" ref="D15:H15" si="13">+D26+D36+D47+D58+D62+D82+D70</f>
        <v>58243287</v>
      </c>
      <c r="E15" s="310">
        <f t="shared" si="13"/>
        <v>11414062</v>
      </c>
      <c r="F15" s="310">
        <f t="shared" si="13"/>
        <v>6479519</v>
      </c>
      <c r="G15" s="310">
        <f t="shared" si="13"/>
        <v>26678010</v>
      </c>
      <c r="H15" s="314">
        <f t="shared" si="13"/>
        <v>13671696</v>
      </c>
      <c r="I15" s="319">
        <f t="shared" ref="I15:P15" si="14">+I26+I36+I47+I58+I62+I82+I70</f>
        <v>57543622</v>
      </c>
      <c r="J15" s="310">
        <f t="shared" si="14"/>
        <v>11414062</v>
      </c>
      <c r="K15" s="310">
        <f t="shared" si="14"/>
        <v>5779854</v>
      </c>
      <c r="L15" s="310">
        <f t="shared" si="14"/>
        <v>26678010</v>
      </c>
      <c r="M15" s="314">
        <f t="shared" si="14"/>
        <v>13671696</v>
      </c>
      <c r="N15" s="311">
        <f t="shared" si="14"/>
        <v>17871362</v>
      </c>
      <c r="O15" s="320">
        <f t="shared" si="4"/>
        <v>30.683985950174826</v>
      </c>
      <c r="P15" s="316">
        <f t="shared" si="14"/>
        <v>677446</v>
      </c>
      <c r="Q15" s="320">
        <f t="shared" si="5"/>
        <v>2.5393423272575428</v>
      </c>
      <c r="R15" s="310">
        <f t="shared" si="10"/>
        <v>-5992056.5</v>
      </c>
      <c r="S15" s="3173"/>
      <c r="T15" s="300"/>
      <c r="U15" s="300"/>
      <c r="V15" s="300"/>
      <c r="W15" s="300"/>
      <c r="X15" s="239"/>
      <c r="Y15" s="300"/>
      <c r="Z15" s="239"/>
      <c r="AA15" s="239"/>
      <c r="AB15" s="239"/>
      <c r="AC15" s="239"/>
      <c r="AD15" s="239"/>
      <c r="AE15" s="239"/>
      <c r="AF15" s="239"/>
      <c r="AG15" s="239"/>
      <c r="AH15" s="239"/>
      <c r="AI15" s="239"/>
      <c r="AJ15" s="239"/>
      <c r="AK15" s="239"/>
      <c r="AL15" s="239"/>
      <c r="AM15" s="239"/>
      <c r="AN15" s="239"/>
      <c r="AO15" s="239"/>
      <c r="AP15" s="239"/>
      <c r="AQ15" s="239"/>
      <c r="AR15" s="239"/>
      <c r="AS15" s="239"/>
      <c r="AT15" s="239"/>
      <c r="AU15" s="239"/>
      <c r="AV15" s="239"/>
      <c r="AW15" s="239"/>
      <c r="AX15" s="239"/>
      <c r="AY15" s="239"/>
      <c r="AZ15" s="239"/>
      <c r="BA15" s="239"/>
      <c r="BB15" s="239"/>
      <c r="BC15" s="239"/>
      <c r="BD15" s="239"/>
      <c r="BE15" s="239"/>
      <c r="BF15" s="239"/>
      <c r="BG15" s="239"/>
      <c r="BH15" s="239"/>
      <c r="BI15" s="239"/>
      <c r="BJ15" s="239"/>
      <c r="BK15" s="239"/>
      <c r="BL15" s="239"/>
      <c r="BM15" s="239"/>
      <c r="BN15" s="239"/>
      <c r="BO15" s="239"/>
      <c r="BP15" s="239"/>
      <c r="BQ15" s="239"/>
      <c r="BR15" s="239"/>
      <c r="BS15" s="239"/>
      <c r="BT15" s="239"/>
      <c r="BU15" s="239"/>
      <c r="BV15" s="239"/>
      <c r="BW15" s="239"/>
      <c r="BX15" s="239"/>
      <c r="BY15" s="239"/>
      <c r="BZ15" s="239"/>
      <c r="CA15" s="239"/>
      <c r="CB15" s="239"/>
      <c r="CC15" s="239"/>
    </row>
    <row r="16" spans="1:81" s="301" customFormat="1" ht="14.1" customHeight="1" x14ac:dyDescent="0.2">
      <c r="A16" s="3183"/>
      <c r="B16" s="302" t="s">
        <v>13</v>
      </c>
      <c r="C16" s="3170"/>
      <c r="D16" s="303">
        <f t="shared" ref="D16:P16" si="15">+D17</f>
        <v>72086061</v>
      </c>
      <c r="E16" s="304">
        <f t="shared" si="15"/>
        <v>888788</v>
      </c>
      <c r="F16" s="304">
        <f t="shared" si="15"/>
        <v>6423527</v>
      </c>
      <c r="G16" s="304">
        <f t="shared" si="15"/>
        <v>33616892</v>
      </c>
      <c r="H16" s="305">
        <f t="shared" si="15"/>
        <v>31156854</v>
      </c>
      <c r="I16" s="304">
        <f t="shared" si="15"/>
        <v>73583144</v>
      </c>
      <c r="J16" s="304">
        <f t="shared" si="15"/>
        <v>888788</v>
      </c>
      <c r="K16" s="304">
        <f t="shared" si="15"/>
        <v>7920610</v>
      </c>
      <c r="L16" s="304">
        <f t="shared" si="15"/>
        <v>33616892</v>
      </c>
      <c r="M16" s="305">
        <f t="shared" si="15"/>
        <v>31156854</v>
      </c>
      <c r="N16" s="306">
        <f t="shared" si="15"/>
        <v>9173890</v>
      </c>
      <c r="O16" s="307">
        <f t="shared" si="4"/>
        <v>12.726302245866922</v>
      </c>
      <c r="P16" s="308">
        <f t="shared" si="15"/>
        <v>364492</v>
      </c>
      <c r="Q16" s="307">
        <f t="shared" si="5"/>
        <v>1.0842525239989469</v>
      </c>
      <c r="R16" s="304">
        <f t="shared" si="10"/>
        <v>-8039731</v>
      </c>
      <c r="S16" s="3173"/>
      <c r="T16" s="300"/>
      <c r="U16" s="300"/>
      <c r="V16" s="300"/>
      <c r="W16" s="300"/>
      <c r="X16" s="239"/>
      <c r="Y16" s="239"/>
      <c r="Z16" s="239"/>
      <c r="AA16" s="239"/>
      <c r="AB16" s="239"/>
      <c r="AC16" s="239"/>
      <c r="AD16" s="239"/>
      <c r="AE16" s="239"/>
      <c r="AF16" s="239"/>
      <c r="AG16" s="239"/>
      <c r="AH16" s="239"/>
      <c r="AI16" s="239"/>
      <c r="AJ16" s="239"/>
      <c r="AK16" s="239"/>
      <c r="AL16" s="239"/>
      <c r="AM16" s="239"/>
      <c r="AN16" s="239"/>
      <c r="AO16" s="239"/>
      <c r="AP16" s="239"/>
      <c r="AQ16" s="239"/>
      <c r="AR16" s="239"/>
      <c r="AS16" s="239"/>
      <c r="AT16" s="239"/>
      <c r="AU16" s="239"/>
      <c r="AV16" s="239"/>
      <c r="AW16" s="239"/>
      <c r="AX16" s="239"/>
      <c r="AY16" s="239"/>
      <c r="AZ16" s="239"/>
      <c r="BA16" s="239"/>
      <c r="BB16" s="239"/>
      <c r="BC16" s="239"/>
      <c r="BD16" s="239"/>
      <c r="BE16" s="239"/>
      <c r="BF16" s="239"/>
      <c r="BG16" s="239"/>
      <c r="BH16" s="239"/>
      <c r="BI16" s="239"/>
      <c r="BJ16" s="239"/>
      <c r="BK16" s="239"/>
      <c r="BL16" s="239"/>
      <c r="BM16" s="239"/>
      <c r="BN16" s="239"/>
      <c r="BO16" s="239"/>
      <c r="BP16" s="239"/>
      <c r="BQ16" s="239"/>
      <c r="BR16" s="239"/>
      <c r="BS16" s="239"/>
      <c r="BT16" s="239"/>
      <c r="BU16" s="239"/>
      <c r="BV16" s="239"/>
      <c r="BW16" s="239"/>
      <c r="BX16" s="239"/>
      <c r="BY16" s="239"/>
      <c r="BZ16" s="239"/>
      <c r="CA16" s="239"/>
      <c r="CB16" s="239"/>
      <c r="CC16" s="239"/>
    </row>
    <row r="17" spans="1:81" s="301" customFormat="1" ht="14.1" customHeight="1" x14ac:dyDescent="0.2">
      <c r="A17" s="3183"/>
      <c r="B17" s="309" t="s">
        <v>16</v>
      </c>
      <c r="C17" s="3170"/>
      <c r="D17" s="310">
        <f t="shared" ref="D17:H17" si="16">D28+D38+D49+D72+D84</f>
        <v>72086061</v>
      </c>
      <c r="E17" s="311">
        <f t="shared" si="16"/>
        <v>888788</v>
      </c>
      <c r="F17" s="311">
        <f t="shared" si="16"/>
        <v>6423527</v>
      </c>
      <c r="G17" s="311">
        <f t="shared" si="16"/>
        <v>33616892</v>
      </c>
      <c r="H17" s="314">
        <f t="shared" si="16"/>
        <v>31156854</v>
      </c>
      <c r="I17" s="311">
        <f t="shared" ref="I17:N17" si="17">I28+I38+I49+I72+I84</f>
        <v>73583144</v>
      </c>
      <c r="J17" s="311">
        <f t="shared" si="17"/>
        <v>888788</v>
      </c>
      <c r="K17" s="311">
        <f t="shared" si="17"/>
        <v>7920610</v>
      </c>
      <c r="L17" s="311">
        <f t="shared" si="17"/>
        <v>33616892</v>
      </c>
      <c r="M17" s="314">
        <f t="shared" si="17"/>
        <v>31156854</v>
      </c>
      <c r="N17" s="321">
        <f t="shared" si="17"/>
        <v>9173890</v>
      </c>
      <c r="O17" s="320">
        <f t="shared" si="4"/>
        <v>12.726302245866922</v>
      </c>
      <c r="P17" s="316">
        <f>P28+P38+P49+P72+P84</f>
        <v>364492</v>
      </c>
      <c r="Q17" s="320">
        <f t="shared" si="5"/>
        <v>1.0842525239989469</v>
      </c>
      <c r="R17" s="311">
        <f t="shared" si="10"/>
        <v>-8039731</v>
      </c>
      <c r="S17" s="3173"/>
      <c r="T17" s="300"/>
      <c r="U17" s="300"/>
      <c r="V17" s="300"/>
      <c r="W17" s="300"/>
      <c r="X17" s="239"/>
      <c r="Y17" s="239"/>
      <c r="Z17" s="239"/>
      <c r="AA17" s="239"/>
      <c r="AB17" s="239"/>
      <c r="AC17" s="239"/>
      <c r="AD17" s="239"/>
      <c r="AE17" s="239"/>
      <c r="AF17" s="239"/>
      <c r="AG17" s="239"/>
      <c r="AH17" s="239"/>
      <c r="AI17" s="239"/>
      <c r="AJ17" s="239"/>
      <c r="AK17" s="239"/>
      <c r="AL17" s="239"/>
      <c r="AM17" s="239"/>
      <c r="AN17" s="239"/>
      <c r="AO17" s="239"/>
      <c r="AP17" s="239"/>
      <c r="AQ17" s="239"/>
      <c r="AR17" s="239"/>
      <c r="AS17" s="239"/>
      <c r="AT17" s="239"/>
      <c r="AU17" s="239"/>
      <c r="AV17" s="239"/>
      <c r="AW17" s="239"/>
      <c r="AX17" s="239"/>
      <c r="AY17" s="239"/>
      <c r="AZ17" s="239"/>
      <c r="BA17" s="239"/>
      <c r="BB17" s="239"/>
      <c r="BC17" s="239"/>
      <c r="BD17" s="239"/>
      <c r="BE17" s="239"/>
      <c r="BF17" s="239"/>
      <c r="BG17" s="239"/>
      <c r="BH17" s="239"/>
      <c r="BI17" s="239"/>
      <c r="BJ17" s="239"/>
      <c r="BK17" s="239"/>
      <c r="BL17" s="239"/>
      <c r="BM17" s="239"/>
      <c r="BN17" s="239"/>
      <c r="BO17" s="239"/>
      <c r="BP17" s="239"/>
      <c r="BQ17" s="239"/>
      <c r="BR17" s="239"/>
      <c r="BS17" s="239"/>
      <c r="BT17" s="239"/>
      <c r="BU17" s="239"/>
      <c r="BV17" s="239"/>
      <c r="BW17" s="239"/>
      <c r="BX17" s="239"/>
      <c r="BY17" s="239"/>
      <c r="BZ17" s="239"/>
      <c r="CA17" s="239"/>
      <c r="CB17" s="239"/>
      <c r="CC17" s="239"/>
    </row>
    <row r="18" spans="1:81" s="301" customFormat="1" ht="14.25" customHeight="1" x14ac:dyDescent="0.2">
      <c r="A18" s="3183"/>
      <c r="B18" s="322" t="s">
        <v>17</v>
      </c>
      <c r="C18" s="323"/>
      <c r="D18" s="324">
        <f t="shared" ref="D18:H18" si="18">+D21+D19</f>
        <v>93307609</v>
      </c>
      <c r="E18" s="324">
        <f t="shared" si="18"/>
        <v>446562</v>
      </c>
      <c r="F18" s="324">
        <f t="shared" si="18"/>
        <v>8485774</v>
      </c>
      <c r="G18" s="324">
        <f t="shared" si="18"/>
        <v>40850276</v>
      </c>
      <c r="H18" s="325">
        <f t="shared" si="18"/>
        <v>43524997</v>
      </c>
      <c r="I18" s="326">
        <f t="shared" ref="I18:N18" si="19">+I21+I19</f>
        <v>94705979</v>
      </c>
      <c r="J18" s="324">
        <f t="shared" si="19"/>
        <v>446562</v>
      </c>
      <c r="K18" s="324">
        <f t="shared" si="19"/>
        <v>9937033</v>
      </c>
      <c r="L18" s="324">
        <f t="shared" si="19"/>
        <v>40850276</v>
      </c>
      <c r="M18" s="325">
        <f t="shared" si="19"/>
        <v>43524997</v>
      </c>
      <c r="N18" s="327">
        <f t="shared" si="19"/>
        <v>11514111</v>
      </c>
      <c r="O18" s="328">
        <f t="shared" si="4"/>
        <v>12.339948610193193</v>
      </c>
      <c r="P18" s="329">
        <f>+P21+P19</f>
        <v>1130516</v>
      </c>
      <c r="Q18" s="328">
        <f t="shared" si="5"/>
        <v>2.7674623299974765</v>
      </c>
      <c r="R18" s="324">
        <f t="shared" si="10"/>
        <v>-9082053</v>
      </c>
      <c r="S18" s="3173"/>
      <c r="T18" s="300"/>
      <c r="U18" s="300"/>
      <c r="V18" s="300"/>
      <c r="W18" s="300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AN18" s="239"/>
      <c r="AO18" s="239"/>
      <c r="AP18" s="239"/>
      <c r="AQ18" s="239"/>
      <c r="AR18" s="239"/>
      <c r="AS18" s="239"/>
      <c r="AT18" s="239"/>
      <c r="AU18" s="239"/>
      <c r="AV18" s="239"/>
      <c r="AW18" s="239"/>
      <c r="AX18" s="239"/>
      <c r="AY18" s="239"/>
      <c r="AZ18" s="239"/>
      <c r="BA18" s="239"/>
      <c r="BB18" s="239"/>
      <c r="BC18" s="239"/>
      <c r="BD18" s="239"/>
      <c r="BE18" s="239"/>
      <c r="BF18" s="239"/>
      <c r="BG18" s="239"/>
      <c r="BH18" s="239"/>
      <c r="BI18" s="239"/>
      <c r="BJ18" s="239"/>
      <c r="BK18" s="239"/>
      <c r="BL18" s="239"/>
      <c r="BM18" s="239"/>
      <c r="BN18" s="239"/>
      <c r="BO18" s="239"/>
      <c r="BP18" s="239"/>
      <c r="BQ18" s="239"/>
      <c r="BR18" s="239"/>
      <c r="BS18" s="239"/>
      <c r="BT18" s="239"/>
      <c r="BU18" s="239"/>
      <c r="BV18" s="239"/>
      <c r="BW18" s="239"/>
      <c r="BX18" s="239"/>
      <c r="BY18" s="239"/>
      <c r="BZ18" s="239"/>
      <c r="CA18" s="239"/>
      <c r="CB18" s="239"/>
      <c r="CC18" s="239"/>
    </row>
    <row r="19" spans="1:81" s="301" customFormat="1" ht="14.25" customHeight="1" x14ac:dyDescent="0.2">
      <c r="A19" s="3183"/>
      <c r="B19" s="302" t="s">
        <v>18</v>
      </c>
      <c r="C19" s="3170"/>
      <c r="D19" s="303">
        <f t="shared" ref="D19:P19" si="20">+D20</f>
        <v>21221548</v>
      </c>
      <c r="E19" s="304">
        <f t="shared" si="20"/>
        <v>322267</v>
      </c>
      <c r="F19" s="304">
        <f t="shared" si="20"/>
        <v>1297753</v>
      </c>
      <c r="G19" s="304">
        <f t="shared" si="20"/>
        <v>7233384</v>
      </c>
      <c r="H19" s="305">
        <f t="shared" si="20"/>
        <v>12368144</v>
      </c>
      <c r="I19" s="304">
        <f t="shared" si="20"/>
        <v>21215959</v>
      </c>
      <c r="J19" s="304">
        <f t="shared" si="20"/>
        <v>322267</v>
      </c>
      <c r="K19" s="304">
        <f t="shared" si="20"/>
        <v>1345053</v>
      </c>
      <c r="L19" s="304">
        <f t="shared" si="20"/>
        <v>7233384</v>
      </c>
      <c r="M19" s="305">
        <f t="shared" si="20"/>
        <v>12368144</v>
      </c>
      <c r="N19" s="330">
        <f t="shared" si="20"/>
        <v>2433344</v>
      </c>
      <c r="O19" s="307">
        <f t="shared" si="4"/>
        <v>11.46638313095727</v>
      </c>
      <c r="P19" s="308">
        <f t="shared" si="20"/>
        <v>766024</v>
      </c>
      <c r="Q19" s="307">
        <f t="shared" si="5"/>
        <v>10.590119368749122</v>
      </c>
      <c r="R19" s="304">
        <f t="shared" si="10"/>
        <v>-1042322</v>
      </c>
      <c r="S19" s="3173"/>
      <c r="T19" s="300"/>
      <c r="U19" s="239"/>
      <c r="V19" s="239"/>
      <c r="W19" s="239"/>
      <c r="X19" s="239"/>
      <c r="Y19" s="239"/>
      <c r="Z19" s="239"/>
      <c r="AA19" s="239"/>
      <c r="AB19" s="239"/>
      <c r="AC19" s="239"/>
      <c r="AD19" s="239"/>
      <c r="AE19" s="239"/>
      <c r="AF19" s="239"/>
      <c r="AG19" s="239"/>
      <c r="AH19" s="239"/>
      <c r="AI19" s="239"/>
      <c r="AJ19" s="239"/>
      <c r="AK19" s="239"/>
      <c r="AL19" s="239"/>
      <c r="AM19" s="239"/>
      <c r="AN19" s="239"/>
      <c r="AO19" s="239"/>
      <c r="AP19" s="239"/>
      <c r="AQ19" s="239"/>
      <c r="AR19" s="239"/>
      <c r="AS19" s="239"/>
      <c r="AT19" s="239"/>
      <c r="AU19" s="239"/>
      <c r="AV19" s="239"/>
      <c r="AW19" s="239"/>
      <c r="AX19" s="239"/>
      <c r="AY19" s="239"/>
      <c r="AZ19" s="239"/>
      <c r="BA19" s="239"/>
      <c r="BB19" s="239"/>
      <c r="BC19" s="239"/>
      <c r="BD19" s="239"/>
      <c r="BE19" s="239"/>
      <c r="BF19" s="239"/>
      <c r="BG19" s="239"/>
      <c r="BH19" s="239"/>
      <c r="BI19" s="239"/>
      <c r="BJ19" s="239"/>
      <c r="BK19" s="239"/>
      <c r="BL19" s="239"/>
      <c r="BM19" s="239"/>
      <c r="BN19" s="239"/>
      <c r="BO19" s="239"/>
      <c r="BP19" s="239"/>
      <c r="BQ19" s="239"/>
      <c r="BR19" s="239"/>
      <c r="BS19" s="239"/>
      <c r="BT19" s="239"/>
      <c r="BU19" s="239"/>
      <c r="BV19" s="239"/>
      <c r="BW19" s="239"/>
      <c r="BX19" s="239"/>
      <c r="BY19" s="239"/>
      <c r="BZ19" s="239"/>
      <c r="CA19" s="239"/>
      <c r="CB19" s="239"/>
      <c r="CC19" s="239"/>
    </row>
    <row r="20" spans="1:81" s="301" customFormat="1" ht="14.25" customHeight="1" x14ac:dyDescent="0.2">
      <c r="A20" s="3183"/>
      <c r="B20" s="309" t="s">
        <v>198</v>
      </c>
      <c r="C20" s="3170"/>
      <c r="D20" s="310">
        <f t="shared" ref="D20:H20" si="21">+D41+D52+D75+D87+D65</f>
        <v>21221548</v>
      </c>
      <c r="E20" s="311">
        <f t="shared" si="21"/>
        <v>322267</v>
      </c>
      <c r="F20" s="311">
        <f t="shared" si="21"/>
        <v>1297753</v>
      </c>
      <c r="G20" s="311">
        <f t="shared" si="21"/>
        <v>7233384</v>
      </c>
      <c r="H20" s="314">
        <f t="shared" si="21"/>
        <v>12368144</v>
      </c>
      <c r="I20" s="311">
        <f t="shared" ref="I20:N20" si="22">+I41+I52+I75+I87+I65</f>
        <v>21215959</v>
      </c>
      <c r="J20" s="311">
        <f t="shared" si="22"/>
        <v>322267</v>
      </c>
      <c r="K20" s="311">
        <f t="shared" si="22"/>
        <v>1345053</v>
      </c>
      <c r="L20" s="311">
        <f t="shared" si="22"/>
        <v>7233384</v>
      </c>
      <c r="M20" s="314">
        <f t="shared" si="22"/>
        <v>12368144</v>
      </c>
      <c r="N20" s="321">
        <f t="shared" si="22"/>
        <v>2433344</v>
      </c>
      <c r="O20" s="320">
        <f t="shared" si="4"/>
        <v>11.46638313095727</v>
      </c>
      <c r="P20" s="316">
        <f>+P41+P52+P75+P87+P65</f>
        <v>766024</v>
      </c>
      <c r="Q20" s="320">
        <f>P20/G20*100</f>
        <v>10.590119368749122</v>
      </c>
      <c r="R20" s="311">
        <f t="shared" si="10"/>
        <v>-1042322</v>
      </c>
      <c r="S20" s="3173"/>
      <c r="T20" s="300"/>
      <c r="U20" s="239"/>
      <c r="V20" s="239"/>
      <c r="W20" s="239"/>
      <c r="X20" s="239"/>
      <c r="Y20" s="239"/>
      <c r="Z20" s="239"/>
      <c r="AA20" s="239"/>
      <c r="AB20" s="239"/>
      <c r="AC20" s="239"/>
      <c r="AD20" s="239"/>
      <c r="AE20" s="239"/>
      <c r="AF20" s="239"/>
      <c r="AG20" s="239"/>
      <c r="AH20" s="239"/>
      <c r="AI20" s="239"/>
      <c r="AJ20" s="239"/>
      <c r="AK20" s="239"/>
      <c r="AL20" s="239"/>
      <c r="AM20" s="239"/>
      <c r="AN20" s="239"/>
      <c r="AO20" s="239"/>
      <c r="AP20" s="239"/>
      <c r="AQ20" s="239"/>
      <c r="AR20" s="239"/>
      <c r="AS20" s="239"/>
      <c r="AT20" s="239"/>
      <c r="AU20" s="239"/>
      <c r="AV20" s="239"/>
      <c r="AW20" s="239"/>
      <c r="AX20" s="239"/>
      <c r="AY20" s="239"/>
      <c r="AZ20" s="239"/>
      <c r="BA20" s="239"/>
      <c r="BB20" s="239"/>
      <c r="BC20" s="239"/>
      <c r="BD20" s="239"/>
      <c r="BE20" s="239"/>
      <c r="BF20" s="239"/>
      <c r="BG20" s="239"/>
      <c r="BH20" s="239"/>
      <c r="BI20" s="239"/>
      <c r="BJ20" s="239"/>
      <c r="BK20" s="239"/>
      <c r="BL20" s="239"/>
      <c r="BM20" s="239"/>
      <c r="BN20" s="239"/>
      <c r="BO20" s="239"/>
      <c r="BP20" s="239"/>
      <c r="BQ20" s="239"/>
      <c r="BR20" s="239"/>
      <c r="BS20" s="239"/>
      <c r="BT20" s="239"/>
      <c r="BU20" s="239"/>
      <c r="BV20" s="239"/>
      <c r="BW20" s="239"/>
      <c r="BX20" s="239"/>
      <c r="BY20" s="239"/>
      <c r="BZ20" s="239"/>
      <c r="CA20" s="239"/>
      <c r="CB20" s="239"/>
      <c r="CC20" s="239"/>
    </row>
    <row r="21" spans="1:81" s="301" customFormat="1" ht="14.1" customHeight="1" x14ac:dyDescent="0.2">
      <c r="A21" s="3183"/>
      <c r="B21" s="331" t="s">
        <v>13</v>
      </c>
      <c r="C21" s="3171" t="s">
        <v>97</v>
      </c>
      <c r="D21" s="332">
        <f t="shared" ref="D21:N21" si="23">+D22</f>
        <v>72086061</v>
      </c>
      <c r="E21" s="332">
        <f t="shared" si="23"/>
        <v>124295</v>
      </c>
      <c r="F21" s="332">
        <f t="shared" si="23"/>
        <v>7188021</v>
      </c>
      <c r="G21" s="332">
        <f t="shared" si="23"/>
        <v>33616892</v>
      </c>
      <c r="H21" s="333">
        <f t="shared" si="23"/>
        <v>31156853</v>
      </c>
      <c r="I21" s="334">
        <f t="shared" si="23"/>
        <v>73490020</v>
      </c>
      <c r="J21" s="332">
        <f t="shared" si="23"/>
        <v>124295</v>
      </c>
      <c r="K21" s="332">
        <f t="shared" si="23"/>
        <v>8591980</v>
      </c>
      <c r="L21" s="332">
        <f t="shared" si="23"/>
        <v>33616892</v>
      </c>
      <c r="M21" s="333">
        <f t="shared" si="23"/>
        <v>31156853</v>
      </c>
      <c r="N21" s="335">
        <f t="shared" si="23"/>
        <v>9080767</v>
      </c>
      <c r="O21" s="336">
        <f t="shared" si="4"/>
        <v>12.597119157336117</v>
      </c>
      <c r="P21" s="337">
        <f>+P22</f>
        <v>364492</v>
      </c>
      <c r="Q21" s="336">
        <f t="shared" si="5"/>
        <v>1.0842525239989469</v>
      </c>
      <c r="R21" s="332">
        <f t="shared" si="10"/>
        <v>-8039731</v>
      </c>
      <c r="S21" s="3173"/>
      <c r="T21" s="300"/>
      <c r="U21" s="239"/>
      <c r="V21" s="239"/>
      <c r="W21" s="239"/>
      <c r="X21" s="239"/>
      <c r="Y21" s="239"/>
      <c r="Z21" s="239"/>
      <c r="AA21" s="239"/>
      <c r="AB21" s="239"/>
      <c r="AC21" s="239"/>
      <c r="AD21" s="239"/>
      <c r="AE21" s="239"/>
      <c r="AF21" s="239"/>
      <c r="AG21" s="239"/>
      <c r="AH21" s="239"/>
      <c r="AI21" s="239"/>
      <c r="AJ21" s="239"/>
      <c r="AK21" s="239"/>
      <c r="AL21" s="239"/>
      <c r="AM21" s="239"/>
      <c r="AN21" s="239"/>
      <c r="AO21" s="239"/>
      <c r="AP21" s="239"/>
      <c r="AQ21" s="239"/>
      <c r="AR21" s="239"/>
      <c r="AS21" s="239"/>
      <c r="AT21" s="239"/>
      <c r="AU21" s="239"/>
      <c r="AV21" s="239"/>
      <c r="AW21" s="239"/>
      <c r="AX21" s="239"/>
      <c r="AY21" s="239"/>
      <c r="AZ21" s="239"/>
      <c r="BA21" s="239"/>
      <c r="BB21" s="239"/>
      <c r="BC21" s="239"/>
      <c r="BD21" s="239"/>
      <c r="BE21" s="239"/>
      <c r="BF21" s="239"/>
      <c r="BG21" s="239"/>
      <c r="BH21" s="239"/>
      <c r="BI21" s="239"/>
      <c r="BJ21" s="239"/>
      <c r="BK21" s="239"/>
      <c r="BL21" s="239"/>
      <c r="BM21" s="239"/>
      <c r="BN21" s="239"/>
      <c r="BO21" s="239"/>
      <c r="BP21" s="239"/>
      <c r="BQ21" s="239"/>
      <c r="BR21" s="239"/>
      <c r="BS21" s="239"/>
      <c r="BT21" s="239"/>
      <c r="BU21" s="239"/>
      <c r="BV21" s="239"/>
      <c r="BW21" s="239"/>
      <c r="BX21" s="239"/>
      <c r="BY21" s="239"/>
      <c r="BZ21" s="239"/>
      <c r="CA21" s="239"/>
      <c r="CB21" s="239"/>
      <c r="CC21" s="239"/>
    </row>
    <row r="22" spans="1:81" s="301" customFormat="1" ht="14.1" customHeight="1" thickBot="1" x14ac:dyDescent="0.25">
      <c r="A22" s="3184"/>
      <c r="B22" s="338" t="s">
        <v>16</v>
      </c>
      <c r="C22" s="3172"/>
      <c r="D22" s="339">
        <f t="shared" ref="D22:H22" si="24">D31+D43+D54+D77+D89</f>
        <v>72086061</v>
      </c>
      <c r="E22" s="340">
        <f t="shared" si="24"/>
        <v>124295</v>
      </c>
      <c r="F22" s="340">
        <f t="shared" si="24"/>
        <v>7188021</v>
      </c>
      <c r="G22" s="340">
        <f t="shared" si="24"/>
        <v>33616892</v>
      </c>
      <c r="H22" s="341">
        <f t="shared" si="24"/>
        <v>31156853</v>
      </c>
      <c r="I22" s="340">
        <f t="shared" ref="I22:N22" si="25">I31+I43+I54+I77+I89</f>
        <v>73490020</v>
      </c>
      <c r="J22" s="340">
        <f t="shared" si="25"/>
        <v>124295</v>
      </c>
      <c r="K22" s="340">
        <f t="shared" si="25"/>
        <v>8591980</v>
      </c>
      <c r="L22" s="340">
        <f t="shared" si="25"/>
        <v>33616892</v>
      </c>
      <c r="M22" s="341">
        <f t="shared" si="25"/>
        <v>31156853</v>
      </c>
      <c r="N22" s="342">
        <f t="shared" si="25"/>
        <v>9080767</v>
      </c>
      <c r="O22" s="343">
        <f t="shared" si="4"/>
        <v>12.597119157336117</v>
      </c>
      <c r="P22" s="344">
        <f>P31+P43+P54+P77+P89</f>
        <v>364492</v>
      </c>
      <c r="Q22" s="343">
        <f t="shared" si="5"/>
        <v>1.0842525239989469</v>
      </c>
      <c r="R22" s="340">
        <f t="shared" si="10"/>
        <v>-8039731</v>
      </c>
      <c r="S22" s="3174"/>
      <c r="T22" s="300"/>
      <c r="U22" s="239"/>
      <c r="V22" s="239"/>
      <c r="W22" s="239"/>
      <c r="X22" s="239"/>
      <c r="Y22" s="239"/>
      <c r="Z22" s="239"/>
      <c r="AA22" s="239"/>
      <c r="AB22" s="239"/>
      <c r="AC22" s="239"/>
      <c r="AD22" s="239"/>
      <c r="AE22" s="239"/>
      <c r="AF22" s="239"/>
      <c r="AG22" s="239"/>
      <c r="AH22" s="239"/>
      <c r="AI22" s="239"/>
      <c r="AJ22" s="239"/>
      <c r="AK22" s="239"/>
      <c r="AL22" s="239"/>
      <c r="AM22" s="239"/>
      <c r="AN22" s="239"/>
      <c r="AO22" s="239"/>
      <c r="AP22" s="239"/>
      <c r="AQ22" s="239"/>
      <c r="AR22" s="239"/>
      <c r="AS22" s="239"/>
      <c r="AT22" s="239"/>
      <c r="AU22" s="239"/>
      <c r="AV22" s="239"/>
      <c r="AW22" s="239"/>
      <c r="AX22" s="239"/>
      <c r="AY22" s="239"/>
      <c r="AZ22" s="239"/>
      <c r="BA22" s="239"/>
      <c r="BB22" s="239"/>
      <c r="BC22" s="239"/>
      <c r="BD22" s="239"/>
      <c r="BE22" s="239"/>
      <c r="BF22" s="239"/>
      <c r="BG22" s="239"/>
      <c r="BH22" s="239"/>
      <c r="BI22" s="239"/>
      <c r="BJ22" s="239"/>
      <c r="BK22" s="239"/>
      <c r="BL22" s="239"/>
      <c r="BM22" s="239"/>
      <c r="BN22" s="239"/>
      <c r="BO22" s="239"/>
      <c r="BP22" s="239"/>
      <c r="BQ22" s="239"/>
      <c r="BR22" s="239"/>
      <c r="BS22" s="239"/>
      <c r="BT22" s="239"/>
      <c r="BU22" s="239"/>
      <c r="BV22" s="239"/>
      <c r="BW22" s="239"/>
      <c r="BX22" s="239"/>
      <c r="BY22" s="239"/>
      <c r="BZ22" s="239"/>
      <c r="CA22" s="239"/>
      <c r="CB22" s="239"/>
      <c r="CC22" s="239"/>
    </row>
    <row r="23" spans="1:81" s="239" customFormat="1" ht="26.25" customHeight="1" x14ac:dyDescent="0.2">
      <c r="A23" s="3181" t="s">
        <v>40</v>
      </c>
      <c r="B23" s="345" t="s">
        <v>199</v>
      </c>
      <c r="C23" s="346" t="s">
        <v>280</v>
      </c>
      <c r="D23" s="347"/>
      <c r="E23" s="347"/>
      <c r="F23" s="347"/>
      <c r="G23" s="348"/>
      <c r="H23" s="349"/>
      <c r="I23" s="347"/>
      <c r="J23" s="347"/>
      <c r="K23" s="347"/>
      <c r="L23" s="348"/>
      <c r="M23" s="349"/>
      <c r="N23" s="347"/>
      <c r="O23" s="350"/>
      <c r="P23" s="351"/>
      <c r="Q23" s="350"/>
      <c r="R23" s="348"/>
      <c r="S23" s="3182" t="s">
        <v>200</v>
      </c>
      <c r="T23" s="300"/>
      <c r="U23" s="352"/>
      <c r="V23" s="352"/>
      <c r="W23" s="352"/>
      <c r="X23" s="352"/>
      <c r="Y23" s="352"/>
      <c r="Z23" s="352"/>
      <c r="AA23" s="352"/>
      <c r="AB23" s="352"/>
      <c r="AC23" s="352"/>
      <c r="AD23" s="352"/>
      <c r="AE23" s="352"/>
      <c r="AF23" s="352"/>
      <c r="AG23" s="352"/>
      <c r="AH23" s="352"/>
      <c r="AI23" s="35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  <c r="BC23" s="352"/>
      <c r="BD23" s="352"/>
      <c r="BE23" s="352"/>
      <c r="BF23" s="352"/>
      <c r="BG23" s="352"/>
      <c r="BH23" s="352"/>
      <c r="BI23" s="352"/>
      <c r="BJ23" s="352"/>
      <c r="BK23" s="352"/>
      <c r="BL23" s="352"/>
      <c r="BM23" s="352"/>
      <c r="BN23" s="352"/>
      <c r="BO23" s="352"/>
      <c r="BP23" s="352"/>
      <c r="BQ23" s="352"/>
      <c r="BR23" s="352"/>
      <c r="BS23" s="352"/>
      <c r="BT23" s="352"/>
      <c r="BU23" s="352"/>
      <c r="BV23" s="352"/>
      <c r="BW23" s="352"/>
      <c r="BX23" s="352"/>
      <c r="BY23" s="352"/>
      <c r="BZ23" s="352"/>
      <c r="CA23" s="352"/>
      <c r="CB23" s="352"/>
    </row>
    <row r="24" spans="1:81" s="239" customFormat="1" ht="14.1" customHeight="1" x14ac:dyDescent="0.2">
      <c r="A24" s="3179"/>
      <c r="B24" s="322" t="s">
        <v>3</v>
      </c>
      <c r="C24" s="353"/>
      <c r="D24" s="326">
        <f>+D25+D27</f>
        <v>2536207</v>
      </c>
      <c r="E24" s="324">
        <f>+E25+E27</f>
        <v>256207</v>
      </c>
      <c r="F24" s="354">
        <f t="shared" ref="F24" si="26">+F25+F27</f>
        <v>0</v>
      </c>
      <c r="G24" s="324">
        <f>+G25+G27</f>
        <v>2280000</v>
      </c>
      <c r="H24" s="355">
        <f t="shared" ref="H24" si="27">+H25+H27</f>
        <v>0</v>
      </c>
      <c r="I24" s="326">
        <f>+I25+I27</f>
        <v>2536207</v>
      </c>
      <c r="J24" s="324">
        <f>+J25+J27</f>
        <v>256207</v>
      </c>
      <c r="K24" s="354">
        <f t="shared" ref="K24:M24" si="28">+K25+K27</f>
        <v>0</v>
      </c>
      <c r="L24" s="324">
        <f>+L25+L27</f>
        <v>2280000</v>
      </c>
      <c r="M24" s="355">
        <f t="shared" si="28"/>
        <v>0</v>
      </c>
      <c r="N24" s="326">
        <f>P24+J24+K24</f>
        <v>256207</v>
      </c>
      <c r="O24" s="328">
        <f t="shared" si="4"/>
        <v>10.101975114807269</v>
      </c>
      <c r="P24" s="329">
        <f>+P25+P27</f>
        <v>0</v>
      </c>
      <c r="Q24" s="328">
        <f t="shared" si="5"/>
        <v>0</v>
      </c>
      <c r="R24" s="324">
        <f t="shared" si="10"/>
        <v>-570000</v>
      </c>
      <c r="S24" s="3177"/>
      <c r="T24" s="300"/>
      <c r="U24" s="352"/>
      <c r="V24" s="352"/>
      <c r="W24" s="352"/>
      <c r="X24" s="352"/>
      <c r="Y24" s="352"/>
      <c r="Z24" s="352"/>
      <c r="AA24" s="352"/>
      <c r="AB24" s="352"/>
      <c r="AC24" s="352"/>
      <c r="AD24" s="352"/>
      <c r="AE24" s="352"/>
      <c r="AF24" s="352"/>
      <c r="AG24" s="352"/>
      <c r="AH24" s="352"/>
      <c r="AI24" s="35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  <c r="BC24" s="352"/>
      <c r="BD24" s="352"/>
      <c r="BE24" s="352"/>
      <c r="BF24" s="352"/>
      <c r="BG24" s="352"/>
      <c r="BH24" s="352"/>
      <c r="BI24" s="352"/>
      <c r="BJ24" s="352"/>
      <c r="BK24" s="352"/>
      <c r="BL24" s="352"/>
      <c r="BM24" s="352"/>
      <c r="BN24" s="352"/>
      <c r="BO24" s="352"/>
      <c r="BP24" s="352"/>
      <c r="BQ24" s="352"/>
      <c r="BR24" s="352"/>
      <c r="BS24" s="352"/>
      <c r="BT24" s="352"/>
      <c r="BU24" s="352"/>
      <c r="BV24" s="352"/>
      <c r="BW24" s="352"/>
      <c r="BX24" s="352"/>
      <c r="BY24" s="352"/>
      <c r="BZ24" s="352"/>
      <c r="CA24" s="352"/>
      <c r="CB24" s="352"/>
    </row>
    <row r="25" spans="1:81" s="239" customFormat="1" ht="14.1" customHeight="1" x14ac:dyDescent="0.2">
      <c r="A25" s="3179"/>
      <c r="B25" s="356" t="s">
        <v>18</v>
      </c>
      <c r="C25" s="3031" t="s">
        <v>201</v>
      </c>
      <c r="D25" s="357">
        <f t="shared" ref="D25:M25" si="29">D26</f>
        <v>2536207</v>
      </c>
      <c r="E25" s="358">
        <f t="shared" si="29"/>
        <v>256207</v>
      </c>
      <c r="F25" s="359">
        <f t="shared" si="29"/>
        <v>0</v>
      </c>
      <c r="G25" s="358">
        <f t="shared" si="29"/>
        <v>2280000</v>
      </c>
      <c r="H25" s="360">
        <f t="shared" si="29"/>
        <v>0</v>
      </c>
      <c r="I25" s="357">
        <f t="shared" si="29"/>
        <v>2536207</v>
      </c>
      <c r="J25" s="358">
        <f t="shared" si="29"/>
        <v>256207</v>
      </c>
      <c r="K25" s="359">
        <f t="shared" si="29"/>
        <v>0</v>
      </c>
      <c r="L25" s="358">
        <f t="shared" si="29"/>
        <v>2280000</v>
      </c>
      <c r="M25" s="360">
        <f t="shared" si="29"/>
        <v>0</v>
      </c>
      <c r="N25" s="357">
        <f t="shared" ref="N25:N31" si="30">P25+J25+K25</f>
        <v>256207</v>
      </c>
      <c r="O25" s="361">
        <f t="shared" si="4"/>
        <v>10.101975114807269</v>
      </c>
      <c r="P25" s="362">
        <f>P26</f>
        <v>0</v>
      </c>
      <c r="Q25" s="361">
        <f t="shared" si="5"/>
        <v>0</v>
      </c>
      <c r="R25" s="358">
        <f t="shared" si="10"/>
        <v>-570000</v>
      </c>
      <c r="S25" s="3177"/>
      <c r="T25" s="300"/>
      <c r="U25" s="352"/>
      <c r="V25" s="352"/>
      <c r="W25" s="352"/>
      <c r="X25" s="352"/>
      <c r="Y25" s="352"/>
      <c r="Z25" s="352"/>
      <c r="AA25" s="352"/>
      <c r="AB25" s="352"/>
      <c r="AC25" s="352"/>
      <c r="AD25" s="352"/>
      <c r="AE25" s="352"/>
      <c r="AF25" s="352"/>
      <c r="AG25" s="352"/>
      <c r="AH25" s="352"/>
      <c r="AI25" s="35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  <c r="BC25" s="352"/>
      <c r="BD25" s="352"/>
      <c r="BE25" s="352"/>
      <c r="BF25" s="352"/>
      <c r="BG25" s="352"/>
      <c r="BH25" s="352"/>
      <c r="BI25" s="352"/>
      <c r="BJ25" s="352"/>
      <c r="BK25" s="352"/>
      <c r="BL25" s="352"/>
      <c r="BM25" s="352"/>
      <c r="BN25" s="352"/>
      <c r="BO25" s="352"/>
      <c r="BP25" s="352"/>
      <c r="BQ25" s="352"/>
      <c r="BR25" s="352"/>
      <c r="BS25" s="352"/>
      <c r="BT25" s="352"/>
      <c r="BU25" s="352"/>
      <c r="BV25" s="352"/>
      <c r="BW25" s="352"/>
      <c r="BX25" s="352"/>
      <c r="BY25" s="352"/>
      <c r="BZ25" s="352"/>
      <c r="CA25" s="352"/>
      <c r="CB25" s="352"/>
    </row>
    <row r="26" spans="1:81" s="239" customFormat="1" ht="15" customHeight="1" x14ac:dyDescent="0.2">
      <c r="A26" s="3179"/>
      <c r="B26" s="363" t="s">
        <v>6</v>
      </c>
      <c r="C26" s="3059"/>
      <c r="D26" s="364">
        <f>+E26+F26+G26+H26</f>
        <v>2536207</v>
      </c>
      <c r="E26" s="365">
        <v>256207</v>
      </c>
      <c r="F26" s="366">
        <v>0</v>
      </c>
      <c r="G26" s="365">
        <v>2280000</v>
      </c>
      <c r="H26" s="367">
        <v>0</v>
      </c>
      <c r="I26" s="364">
        <f>+J26+K26+L26+M26</f>
        <v>2536207</v>
      </c>
      <c r="J26" s="365">
        <v>256207</v>
      </c>
      <c r="K26" s="366">
        <v>0</v>
      </c>
      <c r="L26" s="365">
        <v>2280000</v>
      </c>
      <c r="M26" s="367">
        <v>0</v>
      </c>
      <c r="N26" s="364">
        <f>P26+J26+K26</f>
        <v>256207</v>
      </c>
      <c r="O26" s="368">
        <f t="shared" si="4"/>
        <v>10.101975114807269</v>
      </c>
      <c r="P26" s="369">
        <v>0</v>
      </c>
      <c r="Q26" s="368">
        <f t="shared" si="5"/>
        <v>0</v>
      </c>
      <c r="R26" s="365">
        <f t="shared" si="10"/>
        <v>-570000</v>
      </c>
      <c r="S26" s="3177"/>
      <c r="T26" s="300"/>
      <c r="U26" s="352"/>
      <c r="V26" s="352"/>
      <c r="W26" s="352"/>
      <c r="X26" s="352"/>
      <c r="Y26" s="352"/>
      <c r="Z26" s="352"/>
      <c r="AA26" s="352"/>
      <c r="AB26" s="352"/>
      <c r="AC26" s="352"/>
      <c r="AD26" s="352"/>
      <c r="AE26" s="352"/>
      <c r="AF26" s="352"/>
      <c r="AG26" s="352"/>
      <c r="AH26" s="352"/>
      <c r="AI26" s="35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  <c r="BC26" s="352"/>
      <c r="BD26" s="352"/>
      <c r="BE26" s="352"/>
      <c r="BF26" s="352"/>
      <c r="BG26" s="352"/>
      <c r="BH26" s="352"/>
      <c r="BI26" s="352"/>
      <c r="BJ26" s="352"/>
      <c r="BK26" s="352"/>
      <c r="BL26" s="352"/>
      <c r="BM26" s="352"/>
      <c r="BN26" s="352"/>
      <c r="BO26" s="352"/>
      <c r="BP26" s="352"/>
      <c r="BQ26" s="352"/>
      <c r="BR26" s="352"/>
      <c r="BS26" s="352"/>
      <c r="BT26" s="352"/>
      <c r="BU26" s="352"/>
      <c r="BV26" s="352"/>
      <c r="BW26" s="352"/>
      <c r="BX26" s="352"/>
      <c r="BY26" s="352"/>
      <c r="BZ26" s="352"/>
      <c r="CA26" s="352"/>
      <c r="CB26" s="352"/>
    </row>
    <row r="27" spans="1:81" s="239" customFormat="1" ht="14.1" hidden="1" customHeight="1" x14ac:dyDescent="0.2">
      <c r="A27" s="3179"/>
      <c r="B27" s="370" t="s">
        <v>13</v>
      </c>
      <c r="C27" s="3059"/>
      <c r="D27" s="371">
        <f t="shared" ref="D27:M27" si="31">+D28</f>
        <v>0</v>
      </c>
      <c r="E27" s="359">
        <f t="shared" si="31"/>
        <v>0</v>
      </c>
      <c r="F27" s="359">
        <f t="shared" si="31"/>
        <v>0</v>
      </c>
      <c r="G27" s="359">
        <f t="shared" si="31"/>
        <v>0</v>
      </c>
      <c r="H27" s="372">
        <f t="shared" si="31"/>
        <v>0</v>
      </c>
      <c r="I27" s="371">
        <f t="shared" si="31"/>
        <v>0</v>
      </c>
      <c r="J27" s="359">
        <f t="shared" si="31"/>
        <v>0</v>
      </c>
      <c r="K27" s="359">
        <f t="shared" si="31"/>
        <v>0</v>
      </c>
      <c r="L27" s="359">
        <f t="shared" si="31"/>
        <v>0</v>
      </c>
      <c r="M27" s="372">
        <f t="shared" si="31"/>
        <v>0</v>
      </c>
      <c r="N27" s="371">
        <f t="shared" si="30"/>
        <v>0</v>
      </c>
      <c r="O27" s="373" t="e">
        <f t="shared" si="4"/>
        <v>#DIV/0!</v>
      </c>
      <c r="P27" s="373">
        <v>0</v>
      </c>
      <c r="Q27" s="373" t="e">
        <f t="shared" si="5"/>
        <v>#DIV/0!</v>
      </c>
      <c r="R27" s="359">
        <f t="shared" si="10"/>
        <v>0</v>
      </c>
      <c r="S27" s="3177"/>
      <c r="T27" s="300"/>
      <c r="U27" s="352"/>
      <c r="V27" s="352"/>
      <c r="W27" s="352"/>
      <c r="X27" s="352"/>
      <c r="Y27" s="352"/>
      <c r="Z27" s="352"/>
      <c r="AA27" s="352"/>
      <c r="AB27" s="352"/>
      <c r="AC27" s="352"/>
      <c r="AD27" s="352"/>
      <c r="AE27" s="352"/>
      <c r="AF27" s="352"/>
      <c r="AG27" s="352"/>
      <c r="AH27" s="352"/>
      <c r="AI27" s="35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  <c r="BC27" s="352"/>
      <c r="BD27" s="352"/>
      <c r="BE27" s="352"/>
      <c r="BF27" s="352"/>
      <c r="BG27" s="352"/>
      <c r="BH27" s="352"/>
      <c r="BI27" s="352"/>
      <c r="BJ27" s="352"/>
      <c r="BK27" s="352"/>
      <c r="BL27" s="352"/>
      <c r="BM27" s="352"/>
      <c r="BN27" s="352"/>
      <c r="BO27" s="352"/>
      <c r="BP27" s="352"/>
      <c r="BQ27" s="352"/>
      <c r="BR27" s="352"/>
      <c r="BS27" s="352"/>
      <c r="BT27" s="352"/>
      <c r="BU27" s="352"/>
      <c r="BV27" s="352"/>
      <c r="BW27" s="352"/>
      <c r="BX27" s="352"/>
      <c r="BY27" s="352"/>
      <c r="BZ27" s="352"/>
      <c r="CA27" s="352"/>
      <c r="CB27" s="352"/>
    </row>
    <row r="28" spans="1:81" s="239" customFormat="1" ht="14.1" hidden="1" customHeight="1" x14ac:dyDescent="0.2">
      <c r="A28" s="3179"/>
      <c r="B28" s="374" t="s">
        <v>16</v>
      </c>
      <c r="C28" s="3059"/>
      <c r="D28" s="375">
        <f>+E28+F28+G28+H28</f>
        <v>0</v>
      </c>
      <c r="E28" s="366">
        <v>0</v>
      </c>
      <c r="F28" s="366">
        <v>0</v>
      </c>
      <c r="G28" s="366">
        <v>0</v>
      </c>
      <c r="H28" s="376">
        <v>0</v>
      </c>
      <c r="I28" s="375">
        <f>+J28+K28+L28+M28</f>
        <v>0</v>
      </c>
      <c r="J28" s="366">
        <v>0</v>
      </c>
      <c r="K28" s="366">
        <v>0</v>
      </c>
      <c r="L28" s="366">
        <v>0</v>
      </c>
      <c r="M28" s="376">
        <v>0</v>
      </c>
      <c r="N28" s="375">
        <f t="shared" si="30"/>
        <v>0</v>
      </c>
      <c r="O28" s="377" t="e">
        <f t="shared" si="4"/>
        <v>#DIV/0!</v>
      </c>
      <c r="P28" s="377">
        <v>0</v>
      </c>
      <c r="Q28" s="377" t="e">
        <f t="shared" si="5"/>
        <v>#DIV/0!</v>
      </c>
      <c r="R28" s="366">
        <f t="shared" si="10"/>
        <v>0</v>
      </c>
      <c r="S28" s="3177"/>
      <c r="T28" s="300"/>
      <c r="U28" s="352"/>
      <c r="V28" s="352"/>
      <c r="W28" s="352"/>
      <c r="X28" s="352"/>
      <c r="Y28" s="352"/>
      <c r="Z28" s="352"/>
      <c r="AA28" s="352"/>
      <c r="AB28" s="352"/>
      <c r="AC28" s="352"/>
      <c r="AD28" s="352"/>
      <c r="AE28" s="352"/>
      <c r="AF28" s="352"/>
      <c r="AG28" s="352"/>
      <c r="AH28" s="352"/>
      <c r="AI28" s="352"/>
      <c r="AJ28" s="352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  <c r="BC28" s="352"/>
      <c r="BD28" s="352"/>
      <c r="BE28" s="352"/>
      <c r="BF28" s="352"/>
      <c r="BG28" s="352"/>
      <c r="BH28" s="352"/>
      <c r="BI28" s="352"/>
      <c r="BJ28" s="352"/>
      <c r="BK28" s="352"/>
      <c r="BL28" s="352"/>
      <c r="BM28" s="352"/>
      <c r="BN28" s="352"/>
      <c r="BO28" s="352"/>
      <c r="BP28" s="352"/>
      <c r="BQ28" s="352"/>
      <c r="BR28" s="352"/>
      <c r="BS28" s="352"/>
      <c r="BT28" s="352"/>
      <c r="BU28" s="352"/>
      <c r="BV28" s="352"/>
      <c r="BW28" s="352"/>
      <c r="BX28" s="352"/>
      <c r="BY28" s="352"/>
      <c r="BZ28" s="352"/>
      <c r="CA28" s="352"/>
      <c r="CB28" s="352"/>
    </row>
    <row r="29" spans="1:81" s="383" customFormat="1" ht="14.1" hidden="1" customHeight="1" x14ac:dyDescent="0.2">
      <c r="A29" s="3179"/>
      <c r="B29" s="322" t="s">
        <v>17</v>
      </c>
      <c r="C29" s="378"/>
      <c r="D29" s="379">
        <f t="shared" ref="D29:M29" si="32">D30</f>
        <v>0</v>
      </c>
      <c r="E29" s="354">
        <f t="shared" si="32"/>
        <v>0</v>
      </c>
      <c r="F29" s="354">
        <f t="shared" si="32"/>
        <v>0</v>
      </c>
      <c r="G29" s="354">
        <f t="shared" si="32"/>
        <v>0</v>
      </c>
      <c r="H29" s="380">
        <f t="shared" si="32"/>
        <v>0</v>
      </c>
      <c r="I29" s="379">
        <f t="shared" si="32"/>
        <v>0</v>
      </c>
      <c r="J29" s="354">
        <f t="shared" si="32"/>
        <v>0</v>
      </c>
      <c r="K29" s="354">
        <f t="shared" si="32"/>
        <v>0</v>
      </c>
      <c r="L29" s="354">
        <f t="shared" si="32"/>
        <v>0</v>
      </c>
      <c r="M29" s="380">
        <f t="shared" si="32"/>
        <v>0</v>
      </c>
      <c r="N29" s="379">
        <f t="shared" si="30"/>
        <v>0</v>
      </c>
      <c r="O29" s="381" t="e">
        <f t="shared" si="4"/>
        <v>#DIV/0!</v>
      </c>
      <c r="P29" s="381">
        <f>P30</f>
        <v>0</v>
      </c>
      <c r="Q29" s="381" t="e">
        <f t="shared" si="5"/>
        <v>#DIV/0!</v>
      </c>
      <c r="R29" s="354">
        <f t="shared" si="10"/>
        <v>0</v>
      </c>
      <c r="S29" s="3177"/>
      <c r="T29" s="300"/>
      <c r="U29" s="382"/>
      <c r="V29" s="382"/>
      <c r="W29" s="382"/>
      <c r="X29" s="382"/>
      <c r="Y29" s="382"/>
      <c r="Z29" s="382"/>
      <c r="AA29" s="382"/>
      <c r="AB29" s="382"/>
      <c r="AC29" s="382"/>
      <c r="AD29" s="382"/>
      <c r="AE29" s="382"/>
      <c r="AF29" s="382"/>
      <c r="AG29" s="382"/>
      <c r="AH29" s="382"/>
      <c r="AI29" s="382"/>
      <c r="AJ29" s="382"/>
      <c r="AK29" s="382"/>
      <c r="AL29" s="382"/>
      <c r="AM29" s="382"/>
      <c r="AN29" s="382"/>
      <c r="AO29" s="382"/>
      <c r="AP29" s="382"/>
      <c r="AQ29" s="382"/>
      <c r="AR29" s="382"/>
      <c r="AS29" s="382"/>
      <c r="AT29" s="382"/>
      <c r="AU29" s="382"/>
      <c r="AV29" s="382"/>
      <c r="AW29" s="382"/>
      <c r="AX29" s="382"/>
      <c r="AY29" s="382"/>
      <c r="AZ29" s="382"/>
      <c r="BA29" s="382"/>
      <c r="BB29" s="382"/>
      <c r="BC29" s="382"/>
      <c r="BD29" s="382"/>
      <c r="BE29" s="382"/>
      <c r="BF29" s="382"/>
      <c r="BG29" s="382"/>
      <c r="BH29" s="382"/>
      <c r="BI29" s="382"/>
      <c r="BJ29" s="382"/>
      <c r="BK29" s="382"/>
      <c r="BL29" s="382"/>
      <c r="BM29" s="382"/>
      <c r="BN29" s="382"/>
      <c r="BO29" s="382"/>
      <c r="BP29" s="382"/>
      <c r="BQ29" s="382"/>
      <c r="BR29" s="382"/>
      <c r="BS29" s="382"/>
      <c r="BT29" s="382"/>
      <c r="BU29" s="382"/>
      <c r="BV29" s="382"/>
      <c r="BW29" s="382"/>
      <c r="BX29" s="382"/>
      <c r="BY29" s="382"/>
      <c r="BZ29" s="382"/>
      <c r="CA29" s="382"/>
      <c r="CB29" s="382"/>
    </row>
    <row r="30" spans="1:81" s="239" customFormat="1" ht="14.1" hidden="1" customHeight="1" x14ac:dyDescent="0.2">
      <c r="A30" s="3179"/>
      <c r="B30" s="384" t="s">
        <v>13</v>
      </c>
      <c r="C30" s="3031" t="s">
        <v>162</v>
      </c>
      <c r="D30" s="371">
        <f t="shared" ref="D30:M30" si="33">+D31</f>
        <v>0</v>
      </c>
      <c r="E30" s="359">
        <f t="shared" si="33"/>
        <v>0</v>
      </c>
      <c r="F30" s="359">
        <f t="shared" si="33"/>
        <v>0</v>
      </c>
      <c r="G30" s="359">
        <f t="shared" si="33"/>
        <v>0</v>
      </c>
      <c r="H30" s="372">
        <f t="shared" si="33"/>
        <v>0</v>
      </c>
      <c r="I30" s="371">
        <f t="shared" si="33"/>
        <v>0</v>
      </c>
      <c r="J30" s="359">
        <f t="shared" si="33"/>
        <v>0</v>
      </c>
      <c r="K30" s="359">
        <f t="shared" si="33"/>
        <v>0</v>
      </c>
      <c r="L30" s="359">
        <f t="shared" si="33"/>
        <v>0</v>
      </c>
      <c r="M30" s="372">
        <f t="shared" si="33"/>
        <v>0</v>
      </c>
      <c r="N30" s="371">
        <f t="shared" si="30"/>
        <v>0</v>
      </c>
      <c r="O30" s="373" t="e">
        <f t="shared" si="4"/>
        <v>#DIV/0!</v>
      </c>
      <c r="P30" s="373">
        <f>+P31</f>
        <v>0</v>
      </c>
      <c r="Q30" s="373" t="e">
        <f t="shared" si="5"/>
        <v>#DIV/0!</v>
      </c>
      <c r="R30" s="359">
        <f t="shared" si="10"/>
        <v>0</v>
      </c>
      <c r="S30" s="3177"/>
      <c r="T30" s="300"/>
      <c r="U30" s="352"/>
      <c r="V30" s="352"/>
      <c r="W30" s="352"/>
      <c r="X30" s="352"/>
      <c r="Y30" s="352"/>
      <c r="Z30" s="352"/>
      <c r="AA30" s="352"/>
      <c r="AB30" s="352"/>
      <c r="AC30" s="352"/>
      <c r="AD30" s="352"/>
      <c r="AE30" s="352"/>
      <c r="AF30" s="352"/>
      <c r="AG30" s="352"/>
      <c r="AH30" s="352"/>
      <c r="AI30" s="35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  <c r="BC30" s="352"/>
      <c r="BD30" s="352"/>
      <c r="BE30" s="352"/>
      <c r="BF30" s="352"/>
      <c r="BG30" s="352"/>
      <c r="BH30" s="352"/>
      <c r="BI30" s="352"/>
      <c r="BJ30" s="352"/>
      <c r="BK30" s="352"/>
      <c r="BL30" s="352"/>
      <c r="BM30" s="352"/>
      <c r="BN30" s="352"/>
      <c r="BO30" s="352"/>
      <c r="BP30" s="352"/>
      <c r="BQ30" s="352"/>
      <c r="BR30" s="352"/>
      <c r="BS30" s="352"/>
      <c r="BT30" s="352"/>
      <c r="BU30" s="352"/>
      <c r="BV30" s="352"/>
      <c r="BW30" s="352"/>
      <c r="BX30" s="352"/>
      <c r="BY30" s="352"/>
      <c r="BZ30" s="352"/>
      <c r="CA30" s="352"/>
      <c r="CB30" s="352"/>
    </row>
    <row r="31" spans="1:81" s="239" customFormat="1" ht="0.75" customHeight="1" thickBot="1" x14ac:dyDescent="0.25">
      <c r="A31" s="3180"/>
      <c r="B31" s="385" t="s">
        <v>16</v>
      </c>
      <c r="C31" s="3032"/>
      <c r="D31" s="386">
        <f>+E31+F31+G31+H31</f>
        <v>0</v>
      </c>
      <c r="E31" s="387">
        <v>0</v>
      </c>
      <c r="F31" s="387">
        <v>0</v>
      </c>
      <c r="G31" s="387">
        <v>0</v>
      </c>
      <c r="H31" s="388">
        <v>0</v>
      </c>
      <c r="I31" s="386">
        <f>+J31+K31+L31+M31</f>
        <v>0</v>
      </c>
      <c r="J31" s="387">
        <v>0</v>
      </c>
      <c r="K31" s="387">
        <v>0</v>
      </c>
      <c r="L31" s="387">
        <v>0</v>
      </c>
      <c r="M31" s="388">
        <v>0</v>
      </c>
      <c r="N31" s="386">
        <f t="shared" si="30"/>
        <v>0</v>
      </c>
      <c r="O31" s="389" t="e">
        <f t="shared" si="4"/>
        <v>#DIV/0!</v>
      </c>
      <c r="P31" s="389">
        <v>0</v>
      </c>
      <c r="Q31" s="389" t="e">
        <f t="shared" si="5"/>
        <v>#DIV/0!</v>
      </c>
      <c r="R31" s="387">
        <f t="shared" si="10"/>
        <v>0</v>
      </c>
      <c r="S31" s="3178"/>
      <c r="T31" s="300"/>
      <c r="U31" s="352"/>
      <c r="V31" s="352"/>
      <c r="W31" s="352"/>
      <c r="X31" s="352"/>
      <c r="Y31" s="352"/>
      <c r="Z31" s="352"/>
      <c r="AA31" s="352"/>
      <c r="AB31" s="352"/>
      <c r="AC31" s="352"/>
      <c r="AD31" s="352"/>
      <c r="AE31" s="352"/>
      <c r="AF31" s="352"/>
      <c r="AG31" s="352"/>
      <c r="AH31" s="352"/>
      <c r="AI31" s="35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  <c r="BC31" s="352"/>
      <c r="BD31" s="352"/>
      <c r="BE31" s="352"/>
      <c r="BF31" s="352"/>
      <c r="BG31" s="352"/>
      <c r="BH31" s="352"/>
      <c r="BI31" s="352"/>
      <c r="BJ31" s="352"/>
      <c r="BK31" s="352"/>
      <c r="BL31" s="352"/>
      <c r="BM31" s="352"/>
      <c r="BN31" s="352"/>
      <c r="BO31" s="352"/>
      <c r="BP31" s="352"/>
      <c r="BQ31" s="352"/>
      <c r="BR31" s="352"/>
      <c r="BS31" s="352"/>
      <c r="BT31" s="352"/>
      <c r="BU31" s="352"/>
      <c r="BV31" s="352"/>
      <c r="BW31" s="352"/>
      <c r="BX31" s="352"/>
      <c r="BY31" s="352"/>
      <c r="BZ31" s="352"/>
      <c r="CA31" s="352"/>
      <c r="CB31" s="352"/>
    </row>
    <row r="32" spans="1:81" s="239" customFormat="1" ht="57.75" customHeight="1" x14ac:dyDescent="0.2">
      <c r="A32" s="3179" t="s">
        <v>43</v>
      </c>
      <c r="B32" s="390" t="s">
        <v>202</v>
      </c>
      <c r="C32" s="391" t="s">
        <v>280</v>
      </c>
      <c r="D32" s="392"/>
      <c r="E32" s="392"/>
      <c r="F32" s="392"/>
      <c r="G32" s="392"/>
      <c r="H32" s="393"/>
      <c r="I32" s="392"/>
      <c r="J32" s="392"/>
      <c r="K32" s="392"/>
      <c r="L32" s="392"/>
      <c r="M32" s="393"/>
      <c r="N32" s="392"/>
      <c r="O32" s="394"/>
      <c r="P32" s="395"/>
      <c r="Q32" s="394"/>
      <c r="R32" s="392"/>
      <c r="S32" s="3177" t="s">
        <v>203</v>
      </c>
      <c r="T32" s="300"/>
      <c r="U32" s="352"/>
      <c r="V32" s="352"/>
      <c r="W32" s="352"/>
      <c r="X32" s="352"/>
      <c r="Y32" s="352"/>
      <c r="Z32" s="352"/>
      <c r="AA32" s="352"/>
      <c r="AB32" s="352"/>
      <c r="AC32" s="352"/>
      <c r="AD32" s="352"/>
      <c r="AE32" s="352"/>
      <c r="AF32" s="352"/>
      <c r="AG32" s="352"/>
      <c r="AH32" s="352"/>
      <c r="AI32" s="352"/>
      <c r="AJ32" s="352"/>
      <c r="AK32" s="352"/>
      <c r="AL32" s="352"/>
      <c r="AM32" s="352"/>
      <c r="AN32" s="352"/>
      <c r="AO32" s="352"/>
      <c r="AP32" s="352"/>
      <c r="AQ32" s="352"/>
      <c r="AR32" s="352"/>
      <c r="AS32" s="352"/>
      <c r="AT32" s="352"/>
      <c r="AU32" s="352"/>
      <c r="AV32" s="352"/>
      <c r="AW32" s="352"/>
      <c r="AX32" s="352"/>
      <c r="AY32" s="352"/>
      <c r="AZ32" s="352"/>
      <c r="BA32" s="352"/>
      <c r="BB32" s="352"/>
      <c r="BC32" s="352"/>
      <c r="BD32" s="352"/>
      <c r="BE32" s="352"/>
      <c r="BF32" s="352"/>
      <c r="BG32" s="352"/>
      <c r="BH32" s="352"/>
      <c r="BI32" s="352"/>
      <c r="BJ32" s="352"/>
      <c r="BK32" s="352"/>
      <c r="BL32" s="352"/>
      <c r="BM32" s="352"/>
      <c r="BN32" s="352"/>
      <c r="BO32" s="352"/>
      <c r="BP32" s="352"/>
      <c r="BQ32" s="352"/>
      <c r="BR32" s="352"/>
      <c r="BS32" s="352"/>
      <c r="BT32" s="352"/>
      <c r="BU32" s="352"/>
      <c r="BV32" s="352"/>
      <c r="BW32" s="352"/>
      <c r="BX32" s="352"/>
      <c r="BY32" s="352"/>
      <c r="BZ32" s="352"/>
      <c r="CA32" s="352"/>
      <c r="CB32" s="352"/>
    </row>
    <row r="33" spans="1:81" s="239" customFormat="1" ht="13.5" customHeight="1" x14ac:dyDescent="0.2">
      <c r="A33" s="3179"/>
      <c r="B33" s="322" t="s">
        <v>3</v>
      </c>
      <c r="C33" s="396"/>
      <c r="D33" s="326">
        <f>+D34+D37</f>
        <v>24232830</v>
      </c>
      <c r="E33" s="324">
        <f>+E34+E37</f>
        <v>638353</v>
      </c>
      <c r="F33" s="324">
        <f>F34+F37</f>
        <v>6729251</v>
      </c>
      <c r="G33" s="324">
        <f>+G34+G37</f>
        <v>11729902</v>
      </c>
      <c r="H33" s="325">
        <f>+H34+H37</f>
        <v>5135324</v>
      </c>
      <c r="I33" s="326">
        <f>+I34+I37</f>
        <v>25946285</v>
      </c>
      <c r="J33" s="324">
        <f>+J34+J37</f>
        <v>638353</v>
      </c>
      <c r="K33" s="324">
        <f>K34+K37</f>
        <v>8442706</v>
      </c>
      <c r="L33" s="324">
        <f>+L34+L37</f>
        <v>11729902</v>
      </c>
      <c r="M33" s="325">
        <f>+M34+M37</f>
        <v>5135324</v>
      </c>
      <c r="N33" s="326">
        <f t="shared" ref="N33:N43" si="34">P33+J33+K33</f>
        <v>9758505</v>
      </c>
      <c r="O33" s="328">
        <f t="shared" si="4"/>
        <v>40.26977039000397</v>
      </c>
      <c r="P33" s="329">
        <f>+P34+P37</f>
        <v>677446</v>
      </c>
      <c r="Q33" s="328">
        <f t="shared" si="5"/>
        <v>5.7753764694709293</v>
      </c>
      <c r="R33" s="324">
        <f t="shared" si="10"/>
        <v>-2255029.5</v>
      </c>
      <c r="S33" s="3177"/>
      <c r="T33" s="300"/>
      <c r="U33" s="352"/>
      <c r="V33" s="352"/>
      <c r="W33" s="352"/>
      <c r="X33" s="352"/>
      <c r="Y33" s="352"/>
      <c r="Z33" s="352"/>
      <c r="AA33" s="352"/>
      <c r="AB33" s="352"/>
      <c r="AC33" s="352"/>
      <c r="AD33" s="352"/>
      <c r="AE33" s="352"/>
      <c r="AF33" s="352"/>
      <c r="AG33" s="352"/>
      <c r="AH33" s="352"/>
      <c r="AI33" s="352"/>
      <c r="AJ33" s="352"/>
      <c r="AK33" s="352"/>
      <c r="AL33" s="352"/>
      <c r="AM33" s="352"/>
      <c r="AN33" s="352"/>
      <c r="AO33" s="352"/>
      <c r="AP33" s="352"/>
      <c r="AQ33" s="352"/>
      <c r="AR33" s="352"/>
      <c r="AS33" s="352"/>
      <c r="AT33" s="352"/>
      <c r="AU33" s="352"/>
      <c r="AV33" s="352"/>
      <c r="AW33" s="352"/>
      <c r="AX33" s="352"/>
      <c r="AY33" s="352"/>
      <c r="AZ33" s="352"/>
      <c r="BA33" s="352"/>
      <c r="BB33" s="352"/>
      <c r="BC33" s="352"/>
      <c r="BD33" s="352"/>
      <c r="BE33" s="352"/>
      <c r="BF33" s="352"/>
      <c r="BG33" s="352"/>
      <c r="BH33" s="352"/>
      <c r="BI33" s="352"/>
      <c r="BJ33" s="352"/>
      <c r="BK33" s="352"/>
      <c r="BL33" s="352"/>
      <c r="BM33" s="352"/>
      <c r="BN33" s="352"/>
      <c r="BO33" s="352"/>
      <c r="BP33" s="352"/>
      <c r="BQ33" s="352"/>
      <c r="BR33" s="352"/>
      <c r="BS33" s="352"/>
      <c r="BT33" s="352"/>
      <c r="BU33" s="352"/>
      <c r="BV33" s="352"/>
      <c r="BW33" s="352"/>
      <c r="BX33" s="352"/>
      <c r="BY33" s="352"/>
      <c r="BZ33" s="352"/>
      <c r="CA33" s="352"/>
      <c r="CB33" s="352"/>
    </row>
    <row r="34" spans="1:81" s="239" customFormat="1" ht="13.5" customHeight="1" x14ac:dyDescent="0.2">
      <c r="A34" s="3179"/>
      <c r="B34" s="356" t="s">
        <v>18</v>
      </c>
      <c r="C34" s="3031" t="s">
        <v>201</v>
      </c>
      <c r="D34" s="357">
        <f t="shared" ref="D34" si="35">D36+D35</f>
        <v>9540872</v>
      </c>
      <c r="E34" s="358">
        <f>E36+E35</f>
        <v>638353</v>
      </c>
      <c r="F34" s="358">
        <f>F36+F35</f>
        <v>2502682</v>
      </c>
      <c r="G34" s="358">
        <f t="shared" ref="G34:H34" si="36">G36+G35</f>
        <v>4558187</v>
      </c>
      <c r="H34" s="397">
        <f t="shared" si="36"/>
        <v>1841650</v>
      </c>
      <c r="I34" s="357">
        <f t="shared" ref="I34:M34" si="37">I36+I35</f>
        <v>9490095</v>
      </c>
      <c r="J34" s="358">
        <f>J36+J35</f>
        <v>638353</v>
      </c>
      <c r="K34" s="358">
        <f>K36+K35</f>
        <v>2451905</v>
      </c>
      <c r="L34" s="358">
        <f t="shared" si="37"/>
        <v>4558187</v>
      </c>
      <c r="M34" s="397">
        <f t="shared" si="37"/>
        <v>1841650</v>
      </c>
      <c r="N34" s="357">
        <f>P34+J34+K34</f>
        <v>3767704</v>
      </c>
      <c r="O34" s="361">
        <f t="shared" si="4"/>
        <v>39.490143039336445</v>
      </c>
      <c r="P34" s="362">
        <f>P36+P35</f>
        <v>677446</v>
      </c>
      <c r="Q34" s="361">
        <f t="shared" si="5"/>
        <v>14.86218095045245</v>
      </c>
      <c r="R34" s="358">
        <f t="shared" si="10"/>
        <v>-462100.75</v>
      </c>
      <c r="S34" s="3177"/>
      <c r="T34" s="300"/>
      <c r="U34" s="352"/>
      <c r="V34" s="352"/>
      <c r="W34" s="352"/>
      <c r="X34" s="352"/>
      <c r="Y34" s="352"/>
      <c r="Z34" s="352"/>
      <c r="AA34" s="352"/>
      <c r="AB34" s="352"/>
      <c r="AC34" s="352"/>
      <c r="AD34" s="352"/>
      <c r="AE34" s="352"/>
      <c r="AF34" s="352"/>
      <c r="AG34" s="352"/>
      <c r="AH34" s="352"/>
      <c r="AI34" s="352"/>
      <c r="AJ34" s="352"/>
      <c r="AK34" s="352"/>
      <c r="AL34" s="352"/>
      <c r="AM34" s="352"/>
      <c r="AN34" s="352"/>
      <c r="AO34" s="352"/>
      <c r="AP34" s="352"/>
      <c r="AQ34" s="352"/>
      <c r="AR34" s="352"/>
      <c r="AS34" s="352"/>
      <c r="AT34" s="352"/>
      <c r="AU34" s="352"/>
      <c r="AV34" s="352"/>
      <c r="AW34" s="352"/>
      <c r="AX34" s="352"/>
      <c r="AY34" s="352"/>
      <c r="AZ34" s="352"/>
      <c r="BA34" s="352"/>
      <c r="BB34" s="352"/>
      <c r="BC34" s="352"/>
      <c r="BD34" s="352"/>
      <c r="BE34" s="352"/>
      <c r="BF34" s="352"/>
      <c r="BG34" s="352"/>
      <c r="BH34" s="352"/>
      <c r="BI34" s="352"/>
      <c r="BJ34" s="352"/>
      <c r="BK34" s="352"/>
      <c r="BL34" s="352"/>
      <c r="BM34" s="352"/>
      <c r="BN34" s="352"/>
      <c r="BO34" s="352"/>
      <c r="BP34" s="352"/>
      <c r="BQ34" s="352"/>
      <c r="BR34" s="352"/>
      <c r="BS34" s="352"/>
      <c r="BT34" s="352"/>
      <c r="BU34" s="352"/>
      <c r="BV34" s="352"/>
      <c r="BW34" s="352"/>
      <c r="BX34" s="352"/>
      <c r="BY34" s="352"/>
      <c r="BZ34" s="352"/>
      <c r="CA34" s="352"/>
      <c r="CB34" s="352"/>
    </row>
    <row r="35" spans="1:81" s="239" customFormat="1" ht="13.5" customHeight="1" x14ac:dyDescent="0.2">
      <c r="A35" s="3179"/>
      <c r="B35" s="398" t="s">
        <v>7</v>
      </c>
      <c r="C35" s="3031"/>
      <c r="D35" s="364">
        <f>+E35+F35+G35+H35</f>
        <v>230921</v>
      </c>
      <c r="E35" s="365">
        <f>38936+48235+109867</f>
        <v>197038</v>
      </c>
      <c r="F35" s="365">
        <v>33883</v>
      </c>
      <c r="G35" s="366">
        <v>0</v>
      </c>
      <c r="H35" s="376">
        <v>0</v>
      </c>
      <c r="I35" s="364">
        <f>+J35+K35+L35+M35</f>
        <v>230921</v>
      </c>
      <c r="J35" s="365">
        <f>38936+48235+109867</f>
        <v>197038</v>
      </c>
      <c r="K35" s="365">
        <v>33883</v>
      </c>
      <c r="L35" s="365">
        <v>0</v>
      </c>
      <c r="M35" s="399">
        <v>0</v>
      </c>
      <c r="N35" s="400">
        <f t="shared" si="34"/>
        <v>230921</v>
      </c>
      <c r="O35" s="401">
        <f t="shared" si="4"/>
        <v>100</v>
      </c>
      <c r="P35" s="402">
        <v>0</v>
      </c>
      <c r="Q35" s="402">
        <v>0</v>
      </c>
      <c r="R35" s="365">
        <f t="shared" si="10"/>
        <v>0</v>
      </c>
      <c r="S35" s="3177"/>
      <c r="T35" s="300"/>
      <c r="U35" s="352"/>
      <c r="V35" s="352"/>
      <c r="W35" s="352"/>
      <c r="X35" s="352"/>
      <c r="Y35" s="352"/>
      <c r="Z35" s="352"/>
      <c r="AA35" s="352"/>
      <c r="AB35" s="352"/>
      <c r="AC35" s="352"/>
      <c r="AD35" s="352"/>
      <c r="AE35" s="352"/>
      <c r="AF35" s="352"/>
      <c r="AG35" s="352"/>
      <c r="AH35" s="352"/>
      <c r="AI35" s="352"/>
      <c r="AJ35" s="352"/>
      <c r="AK35" s="352"/>
      <c r="AL35" s="352"/>
      <c r="AM35" s="352"/>
      <c r="AN35" s="352"/>
      <c r="AO35" s="352"/>
      <c r="AP35" s="352"/>
      <c r="AQ35" s="352"/>
      <c r="AR35" s="352"/>
      <c r="AS35" s="352"/>
      <c r="AT35" s="352"/>
      <c r="AU35" s="352"/>
      <c r="AV35" s="352"/>
      <c r="AW35" s="352"/>
      <c r="AX35" s="352"/>
      <c r="AY35" s="352"/>
      <c r="AZ35" s="352"/>
      <c r="BA35" s="352"/>
      <c r="BB35" s="352"/>
      <c r="BC35" s="352"/>
      <c r="BD35" s="352"/>
      <c r="BE35" s="352"/>
      <c r="BF35" s="352"/>
      <c r="BG35" s="352"/>
      <c r="BH35" s="352"/>
      <c r="BI35" s="352"/>
      <c r="BJ35" s="352"/>
      <c r="BK35" s="352"/>
      <c r="BL35" s="352"/>
      <c r="BM35" s="352"/>
      <c r="BN35" s="352"/>
      <c r="BO35" s="352"/>
      <c r="BP35" s="352"/>
      <c r="BQ35" s="352"/>
      <c r="BR35" s="352"/>
      <c r="BS35" s="352"/>
      <c r="BT35" s="352"/>
      <c r="BU35" s="352"/>
      <c r="BV35" s="352"/>
      <c r="BW35" s="352"/>
      <c r="BX35" s="352"/>
      <c r="BY35" s="352"/>
      <c r="BZ35" s="352"/>
      <c r="CA35" s="352"/>
      <c r="CB35" s="352"/>
    </row>
    <row r="36" spans="1:81" s="239" customFormat="1" ht="13.5" customHeight="1" x14ac:dyDescent="0.2">
      <c r="A36" s="3179"/>
      <c r="B36" s="398" t="s">
        <v>6</v>
      </c>
      <c r="C36" s="3059"/>
      <c r="D36" s="364">
        <f>+E36+F36+G36+H36</f>
        <v>9309951</v>
      </c>
      <c r="E36" s="365">
        <f>190000+56315+195000</f>
        <v>441315</v>
      </c>
      <c r="F36" s="365">
        <v>2468799</v>
      </c>
      <c r="G36" s="365">
        <v>4558187</v>
      </c>
      <c r="H36" s="399">
        <v>1841650</v>
      </c>
      <c r="I36" s="364">
        <f>+J36+K36+L36+M36</f>
        <v>9259174</v>
      </c>
      <c r="J36" s="365">
        <f>190000+56315+195000</f>
        <v>441315</v>
      </c>
      <c r="K36" s="365">
        <v>2418022</v>
      </c>
      <c r="L36" s="365">
        <v>4558187</v>
      </c>
      <c r="M36" s="399">
        <v>1841650</v>
      </c>
      <c r="N36" s="364">
        <f>P36+J36+K36</f>
        <v>3536783</v>
      </c>
      <c r="O36" s="368">
        <f t="shared" si="4"/>
        <v>37.98927620564276</v>
      </c>
      <c r="P36" s="403">
        <v>677446</v>
      </c>
      <c r="Q36" s="368">
        <f t="shared" si="5"/>
        <v>14.86218095045245</v>
      </c>
      <c r="R36" s="365">
        <f t="shared" si="10"/>
        <v>-462100.75</v>
      </c>
      <c r="S36" s="3177"/>
      <c r="T36" s="300"/>
      <c r="U36" s="352"/>
      <c r="V36" s="352"/>
      <c r="W36" s="352"/>
      <c r="X36" s="352"/>
      <c r="Y36" s="352"/>
      <c r="Z36" s="352"/>
      <c r="AA36" s="352"/>
      <c r="AB36" s="352"/>
      <c r="AC36" s="352"/>
      <c r="AD36" s="352"/>
      <c r="AE36" s="352"/>
      <c r="AF36" s="352"/>
      <c r="AG36" s="352"/>
      <c r="AH36" s="352"/>
      <c r="AI36" s="352"/>
      <c r="AJ36" s="352"/>
      <c r="AK36" s="352"/>
      <c r="AL36" s="352"/>
      <c r="AM36" s="352"/>
      <c r="AN36" s="352"/>
      <c r="AO36" s="352"/>
      <c r="AP36" s="352"/>
      <c r="AQ36" s="352"/>
      <c r="AR36" s="352"/>
      <c r="AS36" s="352"/>
      <c r="AT36" s="352"/>
      <c r="AU36" s="352"/>
      <c r="AV36" s="352"/>
      <c r="AW36" s="352"/>
      <c r="AX36" s="352"/>
      <c r="AY36" s="352"/>
      <c r="AZ36" s="352"/>
      <c r="BA36" s="352"/>
      <c r="BB36" s="352"/>
      <c r="BC36" s="352"/>
      <c r="BD36" s="352"/>
      <c r="BE36" s="352"/>
      <c r="BF36" s="352"/>
      <c r="BG36" s="352"/>
      <c r="BH36" s="352"/>
      <c r="BI36" s="352"/>
      <c r="BJ36" s="352"/>
      <c r="BK36" s="352"/>
      <c r="BL36" s="352"/>
      <c r="BM36" s="352"/>
      <c r="BN36" s="352"/>
      <c r="BO36" s="352"/>
      <c r="BP36" s="352"/>
      <c r="BQ36" s="352"/>
      <c r="BR36" s="352"/>
      <c r="BS36" s="352"/>
      <c r="BT36" s="352"/>
      <c r="BU36" s="352"/>
      <c r="BV36" s="352"/>
      <c r="BW36" s="352"/>
      <c r="BX36" s="352"/>
      <c r="BY36" s="352"/>
      <c r="BZ36" s="352"/>
      <c r="CA36" s="352"/>
      <c r="CB36" s="352"/>
    </row>
    <row r="37" spans="1:81" s="239" customFormat="1" ht="13.5" customHeight="1" x14ac:dyDescent="0.2">
      <c r="A37" s="3179"/>
      <c r="B37" s="370" t="s">
        <v>13</v>
      </c>
      <c r="C37" s="3059"/>
      <c r="D37" s="357">
        <f t="shared" ref="D37:M37" si="38">+D38</f>
        <v>14691958</v>
      </c>
      <c r="E37" s="358">
        <f t="shared" si="38"/>
        <v>0</v>
      </c>
      <c r="F37" s="358">
        <f t="shared" si="38"/>
        <v>4226569</v>
      </c>
      <c r="G37" s="358">
        <f t="shared" si="38"/>
        <v>7171715</v>
      </c>
      <c r="H37" s="397">
        <f t="shared" si="38"/>
        <v>3293674</v>
      </c>
      <c r="I37" s="357">
        <f t="shared" si="38"/>
        <v>16456190</v>
      </c>
      <c r="J37" s="358">
        <f t="shared" si="38"/>
        <v>0</v>
      </c>
      <c r="K37" s="358">
        <f t="shared" si="38"/>
        <v>5990801</v>
      </c>
      <c r="L37" s="358">
        <f t="shared" si="38"/>
        <v>7171715</v>
      </c>
      <c r="M37" s="397">
        <f t="shared" si="38"/>
        <v>3293674</v>
      </c>
      <c r="N37" s="357">
        <f>P37+J37+K37</f>
        <v>5990801</v>
      </c>
      <c r="O37" s="361">
        <f t="shared" si="4"/>
        <v>40.776055853140882</v>
      </c>
      <c r="P37" s="362">
        <f>+P38</f>
        <v>0</v>
      </c>
      <c r="Q37" s="361">
        <f t="shared" si="5"/>
        <v>0</v>
      </c>
      <c r="R37" s="358">
        <f t="shared" si="10"/>
        <v>-1792928.75</v>
      </c>
      <c r="S37" s="3177"/>
      <c r="T37" s="300"/>
      <c r="U37" s="352"/>
      <c r="V37" s="352"/>
      <c r="W37" s="352"/>
      <c r="X37" s="352"/>
      <c r="Y37" s="352"/>
      <c r="Z37" s="352"/>
      <c r="AA37" s="352"/>
      <c r="AB37" s="352"/>
      <c r="AC37" s="352"/>
      <c r="AD37" s="352"/>
      <c r="AE37" s="352"/>
      <c r="AF37" s="352"/>
      <c r="AG37" s="352"/>
      <c r="AH37" s="352"/>
      <c r="AI37" s="352"/>
      <c r="AJ37" s="352"/>
      <c r="AK37" s="352"/>
      <c r="AL37" s="352"/>
      <c r="AM37" s="352"/>
      <c r="AN37" s="352"/>
      <c r="AO37" s="352"/>
      <c r="AP37" s="352"/>
      <c r="AQ37" s="352"/>
      <c r="AR37" s="352"/>
      <c r="AS37" s="352"/>
      <c r="AT37" s="352"/>
      <c r="AU37" s="352"/>
      <c r="AV37" s="352"/>
      <c r="AW37" s="352"/>
      <c r="AX37" s="352"/>
      <c r="AY37" s="352"/>
      <c r="AZ37" s="352"/>
      <c r="BA37" s="352"/>
      <c r="BB37" s="352"/>
      <c r="BC37" s="352"/>
      <c r="BD37" s="352"/>
      <c r="BE37" s="352"/>
      <c r="BF37" s="352"/>
      <c r="BG37" s="352"/>
      <c r="BH37" s="352"/>
      <c r="BI37" s="352"/>
      <c r="BJ37" s="352"/>
      <c r="BK37" s="352"/>
      <c r="BL37" s="352"/>
      <c r="BM37" s="352"/>
      <c r="BN37" s="352"/>
      <c r="BO37" s="352"/>
      <c r="BP37" s="352"/>
      <c r="BQ37" s="352"/>
      <c r="BR37" s="352"/>
      <c r="BS37" s="352"/>
      <c r="BT37" s="352"/>
      <c r="BU37" s="352"/>
      <c r="BV37" s="352"/>
      <c r="BW37" s="352"/>
      <c r="BX37" s="352"/>
      <c r="BY37" s="352"/>
      <c r="BZ37" s="352"/>
      <c r="CA37" s="352"/>
      <c r="CB37" s="352"/>
    </row>
    <row r="38" spans="1:81" s="239" customFormat="1" ht="12.75" x14ac:dyDescent="0.2">
      <c r="A38" s="3179"/>
      <c r="B38" s="374" t="s">
        <v>16</v>
      </c>
      <c r="C38" s="3059"/>
      <c r="D38" s="364">
        <f>+E38+F38+G38+H38</f>
        <v>14691958</v>
      </c>
      <c r="E38" s="365"/>
      <c r="F38" s="365">
        <v>4226569</v>
      </c>
      <c r="G38" s="365">
        <v>7171715</v>
      </c>
      <c r="H38" s="404">
        <v>3293674</v>
      </c>
      <c r="I38" s="364">
        <f>+J38+K38+L38+M38</f>
        <v>16456190</v>
      </c>
      <c r="J38" s="365"/>
      <c r="K38" s="365">
        <v>5990801</v>
      </c>
      <c r="L38" s="365">
        <v>7171715</v>
      </c>
      <c r="M38" s="404">
        <v>3293674</v>
      </c>
      <c r="N38" s="364">
        <f t="shared" si="34"/>
        <v>5990801</v>
      </c>
      <c r="O38" s="368">
        <f t="shared" si="4"/>
        <v>40.776055853140882</v>
      </c>
      <c r="P38" s="403">
        <v>0</v>
      </c>
      <c r="Q38" s="368">
        <f t="shared" si="5"/>
        <v>0</v>
      </c>
      <c r="R38" s="365">
        <f t="shared" si="10"/>
        <v>-1792928.75</v>
      </c>
      <c r="S38" s="3177"/>
      <c r="T38" s="300"/>
      <c r="U38" s="352"/>
      <c r="V38" s="352"/>
      <c r="W38" s="352"/>
      <c r="X38" s="352"/>
      <c r="Y38" s="352"/>
      <c r="Z38" s="352"/>
      <c r="AA38" s="352"/>
      <c r="AB38" s="352"/>
      <c r="AC38" s="352"/>
      <c r="AD38" s="352"/>
      <c r="AE38" s="352"/>
      <c r="AF38" s="352"/>
      <c r="AG38" s="352"/>
      <c r="AH38" s="352"/>
      <c r="AI38" s="352"/>
      <c r="AJ38" s="352"/>
      <c r="AK38" s="352"/>
      <c r="AL38" s="352"/>
      <c r="AM38" s="352"/>
      <c r="AN38" s="352"/>
      <c r="AO38" s="352"/>
      <c r="AP38" s="352"/>
      <c r="AQ38" s="352"/>
      <c r="AR38" s="352"/>
      <c r="AS38" s="352"/>
      <c r="AT38" s="352"/>
      <c r="AU38" s="352"/>
      <c r="AV38" s="352"/>
      <c r="AW38" s="352"/>
      <c r="AX38" s="352"/>
      <c r="AY38" s="352"/>
      <c r="AZ38" s="352"/>
      <c r="BA38" s="352"/>
      <c r="BB38" s="352"/>
      <c r="BC38" s="352"/>
      <c r="BD38" s="352"/>
      <c r="BE38" s="352"/>
      <c r="BF38" s="352"/>
      <c r="BG38" s="352"/>
      <c r="BH38" s="352"/>
      <c r="BI38" s="352"/>
      <c r="BJ38" s="352"/>
      <c r="BK38" s="352"/>
      <c r="BL38" s="352"/>
      <c r="BM38" s="352"/>
      <c r="BN38" s="352"/>
      <c r="BO38" s="352"/>
      <c r="BP38" s="352"/>
      <c r="BQ38" s="352"/>
      <c r="BR38" s="352"/>
      <c r="BS38" s="352"/>
      <c r="BT38" s="352"/>
      <c r="BU38" s="352"/>
      <c r="BV38" s="352"/>
      <c r="BW38" s="352"/>
      <c r="BX38" s="352"/>
      <c r="BY38" s="352"/>
      <c r="BZ38" s="352"/>
      <c r="CA38" s="352"/>
      <c r="CB38" s="352"/>
    </row>
    <row r="39" spans="1:81" s="383" customFormat="1" ht="14.1" customHeight="1" x14ac:dyDescent="0.2">
      <c r="A39" s="3179"/>
      <c r="B39" s="322" t="s">
        <v>17</v>
      </c>
      <c r="C39" s="378"/>
      <c r="D39" s="326">
        <f>D42+D40</f>
        <v>19037923</v>
      </c>
      <c r="E39" s="324">
        <f>E42</f>
        <v>0</v>
      </c>
      <c r="F39" s="324">
        <f>F42</f>
        <v>4226570</v>
      </c>
      <c r="G39" s="324">
        <f>G42+G40</f>
        <v>9313873</v>
      </c>
      <c r="H39" s="405">
        <f>H42+H40</f>
        <v>5112679</v>
      </c>
      <c r="I39" s="326">
        <f>I42+I40</f>
        <v>20796565</v>
      </c>
      <c r="J39" s="324">
        <f>J42</f>
        <v>0</v>
      </c>
      <c r="K39" s="324">
        <f>K42+K40</f>
        <v>6370013</v>
      </c>
      <c r="L39" s="324">
        <f>L42+L40</f>
        <v>9313873</v>
      </c>
      <c r="M39" s="405">
        <f>M42+M40</f>
        <v>5112679</v>
      </c>
      <c r="N39" s="326">
        <f>P39+J39+K39</f>
        <v>7007071</v>
      </c>
      <c r="O39" s="328">
        <f t="shared" si="4"/>
        <v>36.805858496223564</v>
      </c>
      <c r="P39" s="329">
        <f>P42+P40</f>
        <v>637058</v>
      </c>
      <c r="Q39" s="328">
        <f t="shared" si="5"/>
        <v>6.8398828285504862</v>
      </c>
      <c r="R39" s="325">
        <f t="shared" si="10"/>
        <v>-1691410.25</v>
      </c>
      <c r="S39" s="3177"/>
      <c r="T39" s="300"/>
      <c r="U39" s="382"/>
      <c r="V39" s="382"/>
      <c r="W39" s="382"/>
      <c r="X39" s="382"/>
      <c r="Y39" s="382"/>
      <c r="Z39" s="382"/>
      <c r="AA39" s="382"/>
      <c r="AB39" s="382"/>
      <c r="AC39" s="382"/>
      <c r="AD39" s="382"/>
      <c r="AE39" s="382"/>
      <c r="AF39" s="382"/>
      <c r="AG39" s="382"/>
      <c r="AH39" s="382"/>
      <c r="AI39" s="382"/>
      <c r="AJ39" s="382"/>
      <c r="AK39" s="382"/>
      <c r="AL39" s="382"/>
      <c r="AM39" s="382"/>
      <c r="AN39" s="382"/>
      <c r="AO39" s="382"/>
      <c r="AP39" s="382"/>
      <c r="AQ39" s="382"/>
      <c r="AR39" s="382"/>
      <c r="AS39" s="382"/>
      <c r="AT39" s="382"/>
      <c r="AU39" s="382"/>
      <c r="AV39" s="382"/>
      <c r="AW39" s="382"/>
      <c r="AX39" s="382"/>
      <c r="AY39" s="382"/>
      <c r="AZ39" s="382"/>
      <c r="BA39" s="382"/>
      <c r="BB39" s="382"/>
      <c r="BC39" s="382"/>
      <c r="BD39" s="382"/>
      <c r="BE39" s="382"/>
      <c r="BF39" s="382"/>
      <c r="BG39" s="382"/>
      <c r="BH39" s="382"/>
      <c r="BI39" s="382"/>
      <c r="BJ39" s="382"/>
      <c r="BK39" s="382"/>
      <c r="BL39" s="382"/>
      <c r="BM39" s="382"/>
      <c r="BN39" s="382"/>
      <c r="BO39" s="382"/>
      <c r="BP39" s="382"/>
      <c r="BQ39" s="382"/>
      <c r="BR39" s="382"/>
      <c r="BS39" s="382"/>
      <c r="BT39" s="382"/>
      <c r="BU39" s="382"/>
      <c r="BV39" s="382"/>
      <c r="BW39" s="382"/>
      <c r="BX39" s="382"/>
      <c r="BY39" s="382"/>
      <c r="BZ39" s="382"/>
      <c r="CA39" s="382"/>
      <c r="CB39" s="382"/>
    </row>
    <row r="40" spans="1:81" s="383" customFormat="1" ht="14.1" customHeight="1" x14ac:dyDescent="0.2">
      <c r="A40" s="3179"/>
      <c r="B40" s="356" t="s">
        <v>18</v>
      </c>
      <c r="C40" s="406"/>
      <c r="D40" s="407">
        <f t="shared" ref="D40:M40" si="39">+D41</f>
        <v>4345965</v>
      </c>
      <c r="E40" s="408">
        <f t="shared" si="39"/>
        <v>0</v>
      </c>
      <c r="F40" s="408">
        <f t="shared" si="39"/>
        <v>384801</v>
      </c>
      <c r="G40" s="408">
        <f t="shared" si="39"/>
        <v>2142158</v>
      </c>
      <c r="H40" s="409">
        <f t="shared" si="39"/>
        <v>1819006</v>
      </c>
      <c r="I40" s="407">
        <f t="shared" si="39"/>
        <v>4340376</v>
      </c>
      <c r="J40" s="408">
        <f t="shared" si="39"/>
        <v>0</v>
      </c>
      <c r="K40" s="408">
        <f t="shared" si="39"/>
        <v>379212</v>
      </c>
      <c r="L40" s="408">
        <f t="shared" si="39"/>
        <v>2142158</v>
      </c>
      <c r="M40" s="409">
        <f t="shared" si="39"/>
        <v>1819006</v>
      </c>
      <c r="N40" s="407">
        <f t="shared" si="34"/>
        <v>1016270</v>
      </c>
      <c r="O40" s="410">
        <f t="shared" si="4"/>
        <v>23.384219615206288</v>
      </c>
      <c r="P40" s="411">
        <f>+P41</f>
        <v>637058</v>
      </c>
      <c r="Q40" s="410">
        <f t="shared" si="5"/>
        <v>29.739076202595697</v>
      </c>
      <c r="R40" s="408">
        <f t="shared" si="10"/>
        <v>101518.5</v>
      </c>
      <c r="S40" s="3177"/>
      <c r="T40" s="300"/>
      <c r="U40" s="382"/>
      <c r="V40" s="382"/>
      <c r="W40" s="382"/>
      <c r="X40" s="382"/>
      <c r="Y40" s="382"/>
      <c r="Z40" s="382"/>
      <c r="AA40" s="382"/>
      <c r="AB40" s="382"/>
      <c r="AC40" s="382"/>
      <c r="AD40" s="382"/>
      <c r="AE40" s="382"/>
      <c r="AF40" s="382"/>
      <c r="AG40" s="382"/>
      <c r="AH40" s="382"/>
      <c r="AI40" s="382"/>
      <c r="AJ40" s="382"/>
      <c r="AK40" s="382"/>
      <c r="AL40" s="382"/>
      <c r="AM40" s="382"/>
      <c r="AN40" s="382"/>
      <c r="AO40" s="382"/>
      <c r="AP40" s="382"/>
      <c r="AQ40" s="382"/>
      <c r="AR40" s="382"/>
      <c r="AS40" s="382"/>
      <c r="AT40" s="382"/>
      <c r="AU40" s="382"/>
      <c r="AV40" s="382"/>
      <c r="AW40" s="382"/>
      <c r="AX40" s="382"/>
      <c r="AY40" s="382"/>
      <c r="AZ40" s="382"/>
      <c r="BA40" s="382"/>
      <c r="BB40" s="382"/>
      <c r="BC40" s="382"/>
      <c r="BD40" s="382"/>
      <c r="BE40" s="382"/>
      <c r="BF40" s="382"/>
      <c r="BG40" s="382"/>
      <c r="BH40" s="382"/>
      <c r="BI40" s="382"/>
      <c r="BJ40" s="382"/>
      <c r="BK40" s="382"/>
      <c r="BL40" s="382"/>
      <c r="BM40" s="382"/>
      <c r="BN40" s="382"/>
      <c r="BO40" s="382"/>
      <c r="BP40" s="382"/>
      <c r="BQ40" s="382"/>
      <c r="BR40" s="382"/>
      <c r="BS40" s="382"/>
      <c r="BT40" s="382"/>
      <c r="BU40" s="382"/>
      <c r="BV40" s="382"/>
      <c r="BW40" s="382"/>
      <c r="BX40" s="382"/>
      <c r="BY40" s="382"/>
      <c r="BZ40" s="382"/>
      <c r="CA40" s="382"/>
      <c r="CB40" s="382"/>
    </row>
    <row r="41" spans="1:81" s="383" customFormat="1" ht="14.1" customHeight="1" x14ac:dyDescent="0.2">
      <c r="A41" s="3179"/>
      <c r="B41" s="398" t="s">
        <v>198</v>
      </c>
      <c r="C41" s="406"/>
      <c r="D41" s="400">
        <f>+E41+F41+G41+H41</f>
        <v>4345965</v>
      </c>
      <c r="E41" s="412">
        <v>0</v>
      </c>
      <c r="F41" s="412">
        <v>384801</v>
      </c>
      <c r="G41" s="412">
        <v>2142158</v>
      </c>
      <c r="H41" s="413">
        <v>1819006</v>
      </c>
      <c r="I41" s="400">
        <f>+J41+K41+L41+M41</f>
        <v>4340376</v>
      </c>
      <c r="J41" s="412">
        <v>0</v>
      </c>
      <c r="K41" s="412">
        <v>379212</v>
      </c>
      <c r="L41" s="412">
        <v>2142158</v>
      </c>
      <c r="M41" s="413">
        <v>1819006</v>
      </c>
      <c r="N41" s="400">
        <f t="shared" si="34"/>
        <v>1016270</v>
      </c>
      <c r="O41" s="401">
        <f t="shared" si="4"/>
        <v>23.384219615206288</v>
      </c>
      <c r="P41" s="369">
        <v>637058</v>
      </c>
      <c r="Q41" s="401">
        <f t="shared" si="5"/>
        <v>29.739076202595697</v>
      </c>
      <c r="R41" s="412">
        <f t="shared" si="10"/>
        <v>101518.5</v>
      </c>
      <c r="S41" s="3177"/>
      <c r="T41" s="300"/>
      <c r="U41" s="382"/>
      <c r="V41" s="382"/>
      <c r="W41" s="382"/>
      <c r="X41" s="382"/>
      <c r="Y41" s="382"/>
      <c r="Z41" s="382"/>
      <c r="AA41" s="382"/>
      <c r="AB41" s="382"/>
      <c r="AC41" s="382"/>
      <c r="AD41" s="382"/>
      <c r="AE41" s="382"/>
      <c r="AF41" s="382"/>
      <c r="AG41" s="382"/>
      <c r="AH41" s="382"/>
      <c r="AI41" s="382"/>
      <c r="AJ41" s="382"/>
      <c r="AK41" s="382"/>
      <c r="AL41" s="382"/>
      <c r="AM41" s="382"/>
      <c r="AN41" s="382"/>
      <c r="AO41" s="382"/>
      <c r="AP41" s="382"/>
      <c r="AQ41" s="382"/>
      <c r="AR41" s="382"/>
      <c r="AS41" s="382"/>
      <c r="AT41" s="382"/>
      <c r="AU41" s="382"/>
      <c r="AV41" s="382"/>
      <c r="AW41" s="382"/>
      <c r="AX41" s="382"/>
      <c r="AY41" s="382"/>
      <c r="AZ41" s="382"/>
      <c r="BA41" s="382"/>
      <c r="BB41" s="382"/>
      <c r="BC41" s="382"/>
      <c r="BD41" s="382"/>
      <c r="BE41" s="382"/>
      <c r="BF41" s="382"/>
      <c r="BG41" s="382"/>
      <c r="BH41" s="382"/>
      <c r="BI41" s="382"/>
      <c r="BJ41" s="382"/>
      <c r="BK41" s="382"/>
      <c r="BL41" s="382"/>
      <c r="BM41" s="382"/>
      <c r="BN41" s="382"/>
      <c r="BO41" s="382"/>
      <c r="BP41" s="382"/>
      <c r="BQ41" s="382"/>
      <c r="BR41" s="382"/>
      <c r="BS41" s="382"/>
      <c r="BT41" s="382"/>
      <c r="BU41" s="382"/>
      <c r="BV41" s="382"/>
      <c r="BW41" s="382"/>
      <c r="BX41" s="382"/>
      <c r="BY41" s="382"/>
      <c r="BZ41" s="382"/>
      <c r="CA41" s="382"/>
      <c r="CB41" s="382"/>
    </row>
    <row r="42" spans="1:81" s="239" customFormat="1" ht="12.75" customHeight="1" x14ac:dyDescent="0.2">
      <c r="A42" s="3179"/>
      <c r="B42" s="384" t="s">
        <v>13</v>
      </c>
      <c r="C42" s="3031" t="s">
        <v>162</v>
      </c>
      <c r="D42" s="357">
        <f>+D43</f>
        <v>14691958</v>
      </c>
      <c r="E42" s="358">
        <f t="shared" ref="E42:K42" si="40">+E43</f>
        <v>0</v>
      </c>
      <c r="F42" s="358">
        <f t="shared" si="40"/>
        <v>4226570</v>
      </c>
      <c r="G42" s="358">
        <f>+G43</f>
        <v>7171715</v>
      </c>
      <c r="H42" s="397">
        <f>+H43</f>
        <v>3293673</v>
      </c>
      <c r="I42" s="357">
        <f>+I43</f>
        <v>16456189</v>
      </c>
      <c r="J42" s="358">
        <f t="shared" si="40"/>
        <v>0</v>
      </c>
      <c r="K42" s="358">
        <f t="shared" si="40"/>
        <v>5990801</v>
      </c>
      <c r="L42" s="358">
        <f>+L43</f>
        <v>7171715</v>
      </c>
      <c r="M42" s="397">
        <f>+M43</f>
        <v>3293673</v>
      </c>
      <c r="N42" s="357">
        <f t="shared" si="34"/>
        <v>5990801</v>
      </c>
      <c r="O42" s="361">
        <f t="shared" si="4"/>
        <v>40.776055853140882</v>
      </c>
      <c r="P42" s="362">
        <f>+P43</f>
        <v>0</v>
      </c>
      <c r="Q42" s="361">
        <f t="shared" si="5"/>
        <v>0</v>
      </c>
      <c r="R42" s="358">
        <f t="shared" si="10"/>
        <v>-1792928.75</v>
      </c>
      <c r="S42" s="3177"/>
      <c r="T42" s="300"/>
      <c r="U42" s="352"/>
      <c r="V42" s="352"/>
      <c r="W42" s="352"/>
      <c r="X42" s="352"/>
      <c r="Y42" s="352"/>
      <c r="Z42" s="352"/>
      <c r="AA42" s="352"/>
      <c r="AB42" s="352"/>
      <c r="AC42" s="352"/>
      <c r="AD42" s="352"/>
      <c r="AE42" s="352"/>
      <c r="AF42" s="352"/>
      <c r="AG42" s="352"/>
      <c r="AH42" s="352"/>
      <c r="AI42" s="352"/>
      <c r="AJ42" s="352"/>
      <c r="AK42" s="352"/>
      <c r="AL42" s="352"/>
      <c r="AM42" s="352"/>
      <c r="AN42" s="352"/>
      <c r="AO42" s="352"/>
      <c r="AP42" s="352"/>
      <c r="AQ42" s="352"/>
      <c r="AR42" s="352"/>
      <c r="AS42" s="352"/>
      <c r="AT42" s="352"/>
      <c r="AU42" s="352"/>
      <c r="AV42" s="352"/>
      <c r="AW42" s="352"/>
      <c r="AX42" s="352"/>
      <c r="AY42" s="352"/>
      <c r="AZ42" s="352"/>
      <c r="BA42" s="352"/>
      <c r="BB42" s="352"/>
      <c r="BC42" s="352"/>
      <c r="BD42" s="352"/>
      <c r="BE42" s="352"/>
      <c r="BF42" s="352"/>
      <c r="BG42" s="352"/>
      <c r="BH42" s="352"/>
      <c r="BI42" s="352"/>
      <c r="BJ42" s="352"/>
      <c r="BK42" s="352"/>
      <c r="BL42" s="352"/>
      <c r="BM42" s="352"/>
      <c r="BN42" s="352"/>
      <c r="BO42" s="352"/>
      <c r="BP42" s="352"/>
      <c r="BQ42" s="352"/>
      <c r="BR42" s="352"/>
      <c r="BS42" s="352"/>
      <c r="BT42" s="352"/>
      <c r="BU42" s="352"/>
      <c r="BV42" s="352"/>
      <c r="BW42" s="352"/>
      <c r="BX42" s="352"/>
      <c r="BY42" s="352"/>
      <c r="BZ42" s="352"/>
      <c r="CA42" s="352"/>
      <c r="CB42" s="352"/>
    </row>
    <row r="43" spans="1:81" s="239" customFormat="1" ht="15" customHeight="1" thickBot="1" x14ac:dyDescent="0.25">
      <c r="A43" s="3180"/>
      <c r="B43" s="385" t="s">
        <v>16</v>
      </c>
      <c r="C43" s="3032"/>
      <c r="D43" s="414">
        <f>+E43+F43+G43+H43</f>
        <v>14691958</v>
      </c>
      <c r="E43" s="415">
        <v>0</v>
      </c>
      <c r="F43" s="415">
        <v>4226570</v>
      </c>
      <c r="G43" s="415">
        <v>7171715</v>
      </c>
      <c r="H43" s="416">
        <v>3293673</v>
      </c>
      <c r="I43" s="414">
        <f>+J43+K43+L43+M43</f>
        <v>16456189</v>
      </c>
      <c r="J43" s="415">
        <v>0</v>
      </c>
      <c r="K43" s="415">
        <v>5990801</v>
      </c>
      <c r="L43" s="415">
        <v>7171715</v>
      </c>
      <c r="M43" s="416">
        <v>3293673</v>
      </c>
      <c r="N43" s="414">
        <f t="shared" si="34"/>
        <v>5990801</v>
      </c>
      <c r="O43" s="417">
        <f t="shared" si="4"/>
        <v>40.776055853140882</v>
      </c>
      <c r="P43" s="418">
        <v>0</v>
      </c>
      <c r="Q43" s="417">
        <f>P43/G43*100</f>
        <v>0</v>
      </c>
      <c r="R43" s="415">
        <f t="shared" si="10"/>
        <v>-1792928.75</v>
      </c>
      <c r="S43" s="3178"/>
      <c r="T43" s="300"/>
      <c r="U43" s="352"/>
      <c r="V43" s="352"/>
      <c r="W43" s="352"/>
      <c r="X43" s="352"/>
      <c r="Y43" s="352"/>
      <c r="Z43" s="352"/>
      <c r="AA43" s="352"/>
      <c r="AB43" s="352"/>
      <c r="AC43" s="352"/>
      <c r="AD43" s="352"/>
      <c r="AE43" s="352"/>
      <c r="AF43" s="352"/>
      <c r="AG43" s="352"/>
      <c r="AH43" s="352"/>
      <c r="AI43" s="352"/>
      <c r="AJ43" s="352"/>
      <c r="AK43" s="352"/>
      <c r="AL43" s="352"/>
      <c r="AM43" s="352"/>
      <c r="AN43" s="352"/>
      <c r="AO43" s="352"/>
      <c r="AP43" s="352"/>
      <c r="AQ43" s="352"/>
      <c r="AR43" s="352"/>
      <c r="AS43" s="352"/>
      <c r="AT43" s="352"/>
      <c r="AU43" s="352"/>
      <c r="AV43" s="352"/>
      <c r="AW43" s="352"/>
      <c r="AX43" s="352"/>
      <c r="AY43" s="352"/>
      <c r="AZ43" s="352"/>
      <c r="BA43" s="352"/>
      <c r="BB43" s="352"/>
      <c r="BC43" s="352"/>
      <c r="BD43" s="352"/>
      <c r="BE43" s="352"/>
      <c r="BF43" s="352"/>
      <c r="BG43" s="352"/>
      <c r="BH43" s="352"/>
      <c r="BI43" s="352"/>
      <c r="BJ43" s="352"/>
      <c r="BK43" s="352"/>
      <c r="BL43" s="352"/>
      <c r="BM43" s="352"/>
      <c r="BN43" s="352"/>
      <c r="BO43" s="352"/>
      <c r="BP43" s="352"/>
      <c r="BQ43" s="352"/>
      <c r="BR43" s="352"/>
      <c r="BS43" s="352"/>
      <c r="BT43" s="352"/>
      <c r="BU43" s="352"/>
      <c r="BV43" s="352"/>
      <c r="BW43" s="352"/>
      <c r="BX43" s="352"/>
      <c r="BY43" s="352"/>
      <c r="BZ43" s="352"/>
      <c r="CA43" s="352"/>
      <c r="CB43" s="352"/>
    </row>
    <row r="44" spans="1:81" s="352" customFormat="1" ht="42.75" customHeight="1" x14ac:dyDescent="0.2">
      <c r="A44" s="3175" t="s">
        <v>48</v>
      </c>
      <c r="B44" s="390" t="s">
        <v>204</v>
      </c>
      <c r="C44" s="391" t="s">
        <v>280</v>
      </c>
      <c r="D44" s="419"/>
      <c r="E44" s="419"/>
      <c r="F44" s="419"/>
      <c r="G44" s="419"/>
      <c r="H44" s="420"/>
      <c r="I44" s="419"/>
      <c r="J44" s="419"/>
      <c r="K44" s="419"/>
      <c r="L44" s="419"/>
      <c r="M44" s="420"/>
      <c r="N44" s="392"/>
      <c r="O44" s="394"/>
      <c r="P44" s="395"/>
      <c r="Q44" s="394"/>
      <c r="R44" s="419"/>
      <c r="S44" s="3177" t="s">
        <v>205</v>
      </c>
      <c r="T44" s="300"/>
      <c r="CC44" s="382"/>
    </row>
    <row r="45" spans="1:81" s="352" customFormat="1" ht="13.5" customHeight="1" x14ac:dyDescent="0.2">
      <c r="A45" s="3175"/>
      <c r="B45" s="322" t="s">
        <v>3</v>
      </c>
      <c r="C45" s="396"/>
      <c r="D45" s="326">
        <f t="shared" ref="D45:F45" si="41">D46+D48</f>
        <v>67541196</v>
      </c>
      <c r="E45" s="324">
        <f t="shared" si="41"/>
        <v>3682687</v>
      </c>
      <c r="F45" s="324">
        <f t="shared" si="41"/>
        <v>4730712</v>
      </c>
      <c r="G45" s="324">
        <f>G46+G48</f>
        <v>35000000</v>
      </c>
      <c r="H45" s="325">
        <f>H46+H48</f>
        <v>24127797</v>
      </c>
      <c r="I45" s="326">
        <f t="shared" ref="I45:K45" si="42">I46+I48</f>
        <v>67034153</v>
      </c>
      <c r="J45" s="324">
        <f t="shared" si="42"/>
        <v>3682687</v>
      </c>
      <c r="K45" s="324">
        <f t="shared" si="42"/>
        <v>4223669</v>
      </c>
      <c r="L45" s="324">
        <f>L46+L48</f>
        <v>35000000</v>
      </c>
      <c r="M45" s="325">
        <f>M46+M48</f>
        <v>24127797</v>
      </c>
      <c r="N45" s="326">
        <f>P45+J45+K45</f>
        <v>8131353</v>
      </c>
      <c r="O45" s="328">
        <f t="shared" si="4"/>
        <v>12.039101291602831</v>
      </c>
      <c r="P45" s="421">
        <f>P46+P48</f>
        <v>224997</v>
      </c>
      <c r="Q45" s="328">
        <f t="shared" si="5"/>
        <v>0.64284857142857144</v>
      </c>
      <c r="R45" s="324">
        <f t="shared" si="10"/>
        <v>-8525003</v>
      </c>
      <c r="S45" s="3177"/>
      <c r="T45" s="300"/>
    </row>
    <row r="46" spans="1:81" s="352" customFormat="1" ht="13.5" customHeight="1" x14ac:dyDescent="0.2">
      <c r="A46" s="3175"/>
      <c r="B46" s="356" t="s">
        <v>18</v>
      </c>
      <c r="C46" s="3031" t="s">
        <v>206</v>
      </c>
      <c r="D46" s="357">
        <f t="shared" ref="D46:M46" si="43">D47</f>
        <v>26631040</v>
      </c>
      <c r="E46" s="358">
        <f t="shared" si="43"/>
        <v>3682687</v>
      </c>
      <c r="F46" s="358">
        <f t="shared" si="43"/>
        <v>2924328</v>
      </c>
      <c r="G46" s="358">
        <f t="shared" si="43"/>
        <v>14268293</v>
      </c>
      <c r="H46" s="397">
        <f t="shared" si="43"/>
        <v>5755732</v>
      </c>
      <c r="I46" s="357">
        <f t="shared" si="43"/>
        <v>26123997</v>
      </c>
      <c r="J46" s="358">
        <f t="shared" si="43"/>
        <v>3682687</v>
      </c>
      <c r="K46" s="358">
        <f t="shared" si="43"/>
        <v>2417285</v>
      </c>
      <c r="L46" s="358">
        <f t="shared" si="43"/>
        <v>14268293</v>
      </c>
      <c r="M46" s="397">
        <f t="shared" si="43"/>
        <v>5755732</v>
      </c>
      <c r="N46" s="357">
        <f t="shared" ref="N46:N51" si="44">P46+J46+K46</f>
        <v>6099972</v>
      </c>
      <c r="O46" s="361">
        <f t="shared" si="4"/>
        <v>22.905496743649515</v>
      </c>
      <c r="P46" s="362">
        <f>P47</f>
        <v>0</v>
      </c>
      <c r="Q46" s="361">
        <f t="shared" si="5"/>
        <v>0</v>
      </c>
      <c r="R46" s="358">
        <f t="shared" si="10"/>
        <v>-3567073.25</v>
      </c>
      <c r="S46" s="3177"/>
      <c r="T46" s="300"/>
    </row>
    <row r="47" spans="1:81" s="239" customFormat="1" ht="13.5" customHeight="1" x14ac:dyDescent="0.2">
      <c r="A47" s="3175"/>
      <c r="B47" s="398" t="s">
        <v>6</v>
      </c>
      <c r="C47" s="3059"/>
      <c r="D47" s="422">
        <f>+E47+F47+G47+H47</f>
        <v>26631040</v>
      </c>
      <c r="E47" s="423">
        <f>625947+1250000+1806740</f>
        <v>3682687</v>
      </c>
      <c r="F47" s="423">
        <v>2924328</v>
      </c>
      <c r="G47" s="423">
        <v>14268293</v>
      </c>
      <c r="H47" s="424">
        <v>5755732</v>
      </c>
      <c r="I47" s="422">
        <f>+J47+K47+L47+M47</f>
        <v>26123997</v>
      </c>
      <c r="J47" s="423">
        <f>625947+1250000+1806740</f>
        <v>3682687</v>
      </c>
      <c r="K47" s="423">
        <v>2417285</v>
      </c>
      <c r="L47" s="423">
        <v>14268293</v>
      </c>
      <c r="M47" s="424">
        <v>5755732</v>
      </c>
      <c r="N47" s="422">
        <f t="shared" si="44"/>
        <v>6099972</v>
      </c>
      <c r="O47" s="425">
        <f t="shared" si="4"/>
        <v>22.905496743649515</v>
      </c>
      <c r="P47" s="403">
        <v>0</v>
      </c>
      <c r="Q47" s="425">
        <f t="shared" si="5"/>
        <v>0</v>
      </c>
      <c r="R47" s="423">
        <f t="shared" si="10"/>
        <v>-3567073.25</v>
      </c>
      <c r="S47" s="3177"/>
      <c r="T47" s="300"/>
      <c r="U47" s="352"/>
      <c r="V47" s="352"/>
      <c r="W47" s="352"/>
      <c r="X47" s="352"/>
      <c r="Y47" s="352"/>
      <c r="Z47" s="352"/>
      <c r="AA47" s="352"/>
      <c r="AB47" s="352"/>
      <c r="AC47" s="352"/>
      <c r="AD47" s="352"/>
      <c r="AE47" s="352"/>
      <c r="AF47" s="352"/>
      <c r="AG47" s="352"/>
      <c r="AH47" s="352"/>
      <c r="AI47" s="352"/>
      <c r="AJ47" s="352"/>
      <c r="AK47" s="352"/>
      <c r="AL47" s="352"/>
      <c r="AM47" s="352"/>
      <c r="AN47" s="352"/>
      <c r="AO47" s="352"/>
      <c r="AP47" s="352"/>
      <c r="AQ47" s="352"/>
      <c r="AR47" s="352"/>
      <c r="AS47" s="352"/>
      <c r="AT47" s="352"/>
      <c r="AU47" s="352"/>
      <c r="AV47" s="352"/>
      <c r="AW47" s="352"/>
      <c r="AX47" s="352"/>
      <c r="AY47" s="352"/>
      <c r="AZ47" s="352"/>
      <c r="BA47" s="352"/>
      <c r="BB47" s="352"/>
      <c r="BC47" s="352"/>
      <c r="BD47" s="352"/>
      <c r="BE47" s="352"/>
      <c r="BF47" s="352"/>
      <c r="BG47" s="352"/>
      <c r="BH47" s="352"/>
      <c r="BI47" s="352"/>
      <c r="BJ47" s="352"/>
      <c r="BK47" s="352"/>
      <c r="BL47" s="352"/>
      <c r="BM47" s="352"/>
      <c r="BN47" s="352"/>
      <c r="BO47" s="352"/>
      <c r="BP47" s="352"/>
      <c r="BQ47" s="352"/>
      <c r="BR47" s="352"/>
      <c r="BS47" s="352"/>
      <c r="BT47" s="352"/>
      <c r="BU47" s="352"/>
      <c r="BV47" s="352"/>
      <c r="BW47" s="352"/>
      <c r="BX47" s="352"/>
      <c r="BY47" s="352"/>
      <c r="BZ47" s="352"/>
      <c r="CA47" s="352"/>
      <c r="CB47" s="352"/>
    </row>
    <row r="48" spans="1:81" s="239" customFormat="1" ht="13.5" customHeight="1" x14ac:dyDescent="0.2">
      <c r="A48" s="3175"/>
      <c r="B48" s="370" t="s">
        <v>13</v>
      </c>
      <c r="C48" s="3059"/>
      <c r="D48" s="357">
        <f t="shared" ref="D48:M48" si="45">D49</f>
        <v>40910156</v>
      </c>
      <c r="E48" s="358">
        <f t="shared" si="45"/>
        <v>0</v>
      </c>
      <c r="F48" s="358">
        <f t="shared" si="45"/>
        <v>1806384</v>
      </c>
      <c r="G48" s="358">
        <f t="shared" si="45"/>
        <v>20731707</v>
      </c>
      <c r="H48" s="397">
        <f t="shared" si="45"/>
        <v>18372065</v>
      </c>
      <c r="I48" s="357">
        <f t="shared" si="45"/>
        <v>40910156</v>
      </c>
      <c r="J48" s="358">
        <f t="shared" si="45"/>
        <v>0</v>
      </c>
      <c r="K48" s="358">
        <f t="shared" si="45"/>
        <v>1806384</v>
      </c>
      <c r="L48" s="358">
        <f t="shared" si="45"/>
        <v>20731707</v>
      </c>
      <c r="M48" s="397">
        <f t="shared" si="45"/>
        <v>18372065</v>
      </c>
      <c r="N48" s="426">
        <f>P48+J48+K48</f>
        <v>2031381</v>
      </c>
      <c r="O48" s="425">
        <f t="shared" si="4"/>
        <v>4.9654687212632487</v>
      </c>
      <c r="P48" s="427">
        <f>+P49</f>
        <v>224997</v>
      </c>
      <c r="Q48" s="425">
        <f t="shared" si="5"/>
        <v>1.0852796636572184</v>
      </c>
      <c r="R48" s="358">
        <f t="shared" si="10"/>
        <v>-4957929.75</v>
      </c>
      <c r="S48" s="3177"/>
      <c r="T48" s="300"/>
      <c r="U48" s="352"/>
      <c r="V48" s="352"/>
      <c r="W48" s="352"/>
      <c r="X48" s="352"/>
      <c r="Y48" s="352"/>
      <c r="Z48" s="352"/>
      <c r="AA48" s="352"/>
      <c r="AB48" s="352"/>
      <c r="AC48" s="352"/>
      <c r="AD48" s="352"/>
      <c r="AE48" s="352"/>
      <c r="AF48" s="352"/>
      <c r="AG48" s="352"/>
      <c r="AH48" s="352"/>
      <c r="AI48" s="352"/>
      <c r="AJ48" s="352"/>
      <c r="AK48" s="352"/>
      <c r="AL48" s="352"/>
      <c r="AM48" s="352"/>
      <c r="AN48" s="352"/>
      <c r="AO48" s="352"/>
      <c r="AP48" s="352"/>
      <c r="AQ48" s="352"/>
      <c r="AR48" s="352"/>
      <c r="AS48" s="352"/>
      <c r="AT48" s="352"/>
      <c r="AU48" s="352"/>
      <c r="AV48" s="352"/>
      <c r="AW48" s="352"/>
      <c r="AX48" s="352"/>
      <c r="AY48" s="352"/>
      <c r="AZ48" s="352"/>
      <c r="BA48" s="352"/>
      <c r="BB48" s="352"/>
      <c r="BC48" s="352"/>
      <c r="BD48" s="352"/>
      <c r="BE48" s="352"/>
      <c r="BF48" s="352"/>
      <c r="BG48" s="352"/>
      <c r="BH48" s="352"/>
      <c r="BI48" s="352"/>
      <c r="BJ48" s="352"/>
      <c r="BK48" s="352"/>
      <c r="BL48" s="352"/>
      <c r="BM48" s="352"/>
      <c r="BN48" s="352"/>
      <c r="BO48" s="352"/>
      <c r="BP48" s="352"/>
      <c r="BQ48" s="352"/>
      <c r="BR48" s="352"/>
      <c r="BS48" s="352"/>
      <c r="BT48" s="352"/>
      <c r="BU48" s="352"/>
      <c r="BV48" s="352"/>
      <c r="BW48" s="352"/>
      <c r="BX48" s="352"/>
      <c r="BY48" s="352"/>
      <c r="BZ48" s="352"/>
      <c r="CA48" s="352"/>
      <c r="CB48" s="352"/>
    </row>
    <row r="49" spans="1:81" s="352" customFormat="1" ht="13.5" customHeight="1" x14ac:dyDescent="0.2">
      <c r="A49" s="3175"/>
      <c r="B49" s="374" t="s">
        <v>16</v>
      </c>
      <c r="C49" s="3059"/>
      <c r="D49" s="422">
        <f>+E49+F49+G49+H49</f>
        <v>40910156</v>
      </c>
      <c r="E49" s="423">
        <v>0</v>
      </c>
      <c r="F49" s="423">
        <v>1806384</v>
      </c>
      <c r="G49" s="423">
        <v>20731707</v>
      </c>
      <c r="H49" s="424">
        <v>18372065</v>
      </c>
      <c r="I49" s="422">
        <f>+J49+K49+L49+M49</f>
        <v>40910156</v>
      </c>
      <c r="J49" s="423">
        <v>0</v>
      </c>
      <c r="K49" s="423">
        <v>1806384</v>
      </c>
      <c r="L49" s="423">
        <v>20731707</v>
      </c>
      <c r="M49" s="424">
        <v>18372065</v>
      </c>
      <c r="N49" s="428">
        <f t="shared" si="44"/>
        <v>2031381</v>
      </c>
      <c r="O49" s="425">
        <f t="shared" si="4"/>
        <v>4.9654687212632487</v>
      </c>
      <c r="P49" s="429">
        <v>224997</v>
      </c>
      <c r="Q49" s="425">
        <f t="shared" si="5"/>
        <v>1.0852796636572184</v>
      </c>
      <c r="R49" s="423">
        <f t="shared" si="10"/>
        <v>-4957929.75</v>
      </c>
      <c r="S49" s="3177"/>
      <c r="T49" s="300"/>
      <c r="CC49" s="239"/>
    </row>
    <row r="50" spans="1:81" s="383" customFormat="1" ht="13.5" customHeight="1" x14ac:dyDescent="0.2">
      <c r="A50" s="3175"/>
      <c r="B50" s="322" t="s">
        <v>17</v>
      </c>
      <c r="C50" s="378"/>
      <c r="D50" s="326">
        <f t="shared" ref="D50:H50" si="46">D53+D51</f>
        <v>53356137</v>
      </c>
      <c r="E50" s="324">
        <f t="shared" si="46"/>
        <v>322267</v>
      </c>
      <c r="F50" s="324">
        <f t="shared" si="46"/>
        <v>2712892</v>
      </c>
      <c r="G50" s="324">
        <f t="shared" si="46"/>
        <v>24164853</v>
      </c>
      <c r="H50" s="325">
        <f t="shared" si="46"/>
        <v>26156125</v>
      </c>
      <c r="I50" s="326">
        <f t="shared" ref="I50:M50" si="47">I53+I51</f>
        <v>53356137</v>
      </c>
      <c r="J50" s="324">
        <f t="shared" si="47"/>
        <v>322267</v>
      </c>
      <c r="K50" s="324">
        <f t="shared" si="47"/>
        <v>2712892</v>
      </c>
      <c r="L50" s="324">
        <f t="shared" si="47"/>
        <v>24164853</v>
      </c>
      <c r="M50" s="325">
        <f t="shared" si="47"/>
        <v>26156125</v>
      </c>
      <c r="N50" s="430">
        <f t="shared" si="44"/>
        <v>3283679</v>
      </c>
      <c r="O50" s="328">
        <f t="shared" si="4"/>
        <v>6.1542667528573141</v>
      </c>
      <c r="P50" s="421">
        <f>+P51+P53</f>
        <v>248520</v>
      </c>
      <c r="Q50" s="328">
        <f t="shared" si="5"/>
        <v>1.0284358030235068</v>
      </c>
      <c r="R50" s="324">
        <f t="shared" si="10"/>
        <v>-5792693.25</v>
      </c>
      <c r="S50" s="3177"/>
      <c r="T50" s="300"/>
      <c r="U50" s="382"/>
      <c r="V50" s="382"/>
      <c r="W50" s="382"/>
      <c r="X50" s="382"/>
      <c r="Y50" s="382"/>
      <c r="Z50" s="382"/>
      <c r="AA50" s="382"/>
      <c r="AB50" s="382"/>
      <c r="AC50" s="382"/>
      <c r="AD50" s="382"/>
      <c r="AE50" s="382"/>
      <c r="AF50" s="382"/>
      <c r="AG50" s="382"/>
      <c r="AH50" s="382"/>
      <c r="AI50" s="382"/>
      <c r="AJ50" s="382"/>
      <c r="AK50" s="382"/>
      <c r="AL50" s="382"/>
      <c r="AM50" s="382"/>
      <c r="AN50" s="382"/>
      <c r="AO50" s="382"/>
      <c r="AP50" s="382"/>
      <c r="AQ50" s="382"/>
      <c r="AR50" s="382"/>
      <c r="AS50" s="382"/>
      <c r="AT50" s="382"/>
      <c r="AU50" s="382"/>
      <c r="AV50" s="382"/>
      <c r="AW50" s="382"/>
      <c r="AX50" s="382"/>
      <c r="AY50" s="382"/>
      <c r="AZ50" s="382"/>
      <c r="BA50" s="382"/>
      <c r="BB50" s="382"/>
      <c r="BC50" s="382"/>
      <c r="BD50" s="382"/>
      <c r="BE50" s="382"/>
      <c r="BF50" s="382"/>
      <c r="BG50" s="382"/>
      <c r="BH50" s="382"/>
      <c r="BI50" s="382"/>
      <c r="BJ50" s="382"/>
      <c r="BK50" s="382"/>
      <c r="BL50" s="382"/>
      <c r="BM50" s="382"/>
      <c r="BN50" s="382"/>
      <c r="BO50" s="382"/>
      <c r="BP50" s="382"/>
      <c r="BQ50" s="382"/>
      <c r="BR50" s="382"/>
      <c r="BS50" s="382"/>
      <c r="BT50" s="382"/>
      <c r="BU50" s="382"/>
      <c r="BV50" s="382"/>
      <c r="BW50" s="382"/>
      <c r="BX50" s="382"/>
      <c r="BY50" s="382"/>
      <c r="BZ50" s="382"/>
      <c r="CA50" s="382"/>
      <c r="CB50" s="382"/>
    </row>
    <row r="51" spans="1:81" s="383" customFormat="1" ht="13.5" customHeight="1" x14ac:dyDescent="0.2">
      <c r="A51" s="3175"/>
      <c r="B51" s="356" t="s">
        <v>18</v>
      </c>
      <c r="C51" s="406"/>
      <c r="D51" s="407">
        <f t="shared" ref="D51:M51" si="48">+D52</f>
        <v>12445981</v>
      </c>
      <c r="E51" s="408">
        <f t="shared" si="48"/>
        <v>322267</v>
      </c>
      <c r="F51" s="408">
        <f t="shared" si="48"/>
        <v>906508</v>
      </c>
      <c r="G51" s="408">
        <f t="shared" si="48"/>
        <v>3433146</v>
      </c>
      <c r="H51" s="409">
        <f t="shared" si="48"/>
        <v>7784060</v>
      </c>
      <c r="I51" s="407">
        <f t="shared" si="48"/>
        <v>12445981</v>
      </c>
      <c r="J51" s="408">
        <f t="shared" si="48"/>
        <v>322267</v>
      </c>
      <c r="K51" s="408">
        <f t="shared" si="48"/>
        <v>906508</v>
      </c>
      <c r="L51" s="408">
        <f t="shared" si="48"/>
        <v>3433146</v>
      </c>
      <c r="M51" s="409">
        <f t="shared" si="48"/>
        <v>7784060</v>
      </c>
      <c r="N51" s="431">
        <f t="shared" si="44"/>
        <v>1252298</v>
      </c>
      <c r="O51" s="425">
        <f t="shared" si="4"/>
        <v>10.061866557565851</v>
      </c>
      <c r="P51" s="362">
        <f>+P52</f>
        <v>23523</v>
      </c>
      <c r="Q51" s="425">
        <f t="shared" si="5"/>
        <v>0.68517330751444883</v>
      </c>
      <c r="R51" s="408">
        <f t="shared" si="10"/>
        <v>-834763.5</v>
      </c>
      <c r="S51" s="3177"/>
      <c r="T51" s="300"/>
      <c r="U51" s="382"/>
      <c r="V51" s="382"/>
      <c r="W51" s="382"/>
      <c r="X51" s="382"/>
      <c r="Y51" s="382"/>
      <c r="Z51" s="382"/>
      <c r="AA51" s="382"/>
      <c r="AB51" s="382"/>
      <c r="AC51" s="382"/>
      <c r="AD51" s="382"/>
      <c r="AE51" s="382"/>
      <c r="AF51" s="382"/>
      <c r="AG51" s="382"/>
      <c r="AH51" s="382"/>
      <c r="AI51" s="382"/>
      <c r="AJ51" s="382"/>
      <c r="AK51" s="382"/>
      <c r="AL51" s="382"/>
      <c r="AM51" s="382"/>
      <c r="AN51" s="382"/>
      <c r="AO51" s="382"/>
      <c r="AP51" s="382"/>
      <c r="AQ51" s="382"/>
      <c r="AR51" s="382"/>
      <c r="AS51" s="382"/>
      <c r="AT51" s="382"/>
      <c r="AU51" s="382"/>
      <c r="AV51" s="382"/>
      <c r="AW51" s="382"/>
      <c r="AX51" s="382"/>
      <c r="AY51" s="382"/>
      <c r="AZ51" s="382"/>
      <c r="BA51" s="382"/>
      <c r="BB51" s="382"/>
      <c r="BC51" s="382"/>
      <c r="BD51" s="382"/>
      <c r="BE51" s="382"/>
      <c r="BF51" s="382"/>
      <c r="BG51" s="382"/>
      <c r="BH51" s="382"/>
      <c r="BI51" s="382"/>
      <c r="BJ51" s="382"/>
      <c r="BK51" s="382"/>
      <c r="BL51" s="382"/>
      <c r="BM51" s="382"/>
      <c r="BN51" s="382"/>
      <c r="BO51" s="382"/>
      <c r="BP51" s="382"/>
      <c r="BQ51" s="382"/>
      <c r="BR51" s="382"/>
      <c r="BS51" s="382"/>
      <c r="BT51" s="382"/>
      <c r="BU51" s="382"/>
      <c r="BV51" s="382"/>
      <c r="BW51" s="382"/>
      <c r="BX51" s="382"/>
      <c r="BY51" s="382"/>
      <c r="BZ51" s="382"/>
      <c r="CA51" s="382"/>
      <c r="CB51" s="382"/>
    </row>
    <row r="52" spans="1:81" s="383" customFormat="1" ht="13.5" customHeight="1" x14ac:dyDescent="0.2">
      <c r="A52" s="3175"/>
      <c r="B52" s="398" t="s">
        <v>198</v>
      </c>
      <c r="C52" s="406"/>
      <c r="D52" s="400">
        <f>+E52+F52+G52+H52</f>
        <v>12445981</v>
      </c>
      <c r="E52" s="412">
        <f>101937+220330</f>
        <v>322267</v>
      </c>
      <c r="F52" s="412">
        <v>906508</v>
      </c>
      <c r="G52" s="412">
        <v>3433146</v>
      </c>
      <c r="H52" s="413">
        <v>7784060</v>
      </c>
      <c r="I52" s="400">
        <f>+J52+K52+L52+M52</f>
        <v>12445981</v>
      </c>
      <c r="J52" s="412">
        <f>101937+220330</f>
        <v>322267</v>
      </c>
      <c r="K52" s="412">
        <v>906508</v>
      </c>
      <c r="L52" s="412">
        <v>3433146</v>
      </c>
      <c r="M52" s="413">
        <v>7784060</v>
      </c>
      <c r="N52" s="400">
        <f>P52+J52+K52</f>
        <v>1252298</v>
      </c>
      <c r="O52" s="425">
        <f t="shared" si="4"/>
        <v>10.061866557565851</v>
      </c>
      <c r="P52" s="403">
        <v>23523</v>
      </c>
      <c r="Q52" s="425">
        <f t="shared" si="5"/>
        <v>0.68517330751444883</v>
      </c>
      <c r="R52" s="412">
        <f t="shared" si="10"/>
        <v>-834763.5</v>
      </c>
      <c r="S52" s="3177"/>
      <c r="T52" s="300"/>
      <c r="U52" s="382"/>
      <c r="V52" s="382"/>
      <c r="W52" s="382"/>
      <c r="X52" s="382"/>
      <c r="Y52" s="382"/>
      <c r="Z52" s="382"/>
      <c r="AA52" s="382"/>
      <c r="AB52" s="382"/>
      <c r="AC52" s="382"/>
      <c r="AD52" s="382"/>
      <c r="AE52" s="382"/>
      <c r="AF52" s="382"/>
      <c r="AG52" s="382"/>
      <c r="AH52" s="382"/>
      <c r="AI52" s="382"/>
      <c r="AJ52" s="382"/>
      <c r="AK52" s="382"/>
      <c r="AL52" s="382"/>
      <c r="AM52" s="382"/>
      <c r="AN52" s="382"/>
      <c r="AO52" s="382"/>
      <c r="AP52" s="382"/>
      <c r="AQ52" s="382"/>
      <c r="AR52" s="382"/>
      <c r="AS52" s="382"/>
      <c r="AT52" s="382"/>
      <c r="AU52" s="382"/>
      <c r="AV52" s="382"/>
      <c r="AW52" s="382"/>
      <c r="AX52" s="382"/>
      <c r="AY52" s="382"/>
      <c r="AZ52" s="382"/>
      <c r="BA52" s="382"/>
      <c r="BB52" s="382"/>
      <c r="BC52" s="382"/>
      <c r="BD52" s="382"/>
      <c r="BE52" s="382"/>
      <c r="BF52" s="382"/>
      <c r="BG52" s="382"/>
      <c r="BH52" s="382"/>
      <c r="BI52" s="382"/>
      <c r="BJ52" s="382"/>
      <c r="BK52" s="382"/>
      <c r="BL52" s="382"/>
      <c r="BM52" s="382"/>
      <c r="BN52" s="382"/>
      <c r="BO52" s="382"/>
      <c r="BP52" s="382"/>
      <c r="BQ52" s="382"/>
      <c r="BR52" s="382"/>
      <c r="BS52" s="382"/>
      <c r="BT52" s="382"/>
      <c r="BU52" s="382"/>
      <c r="BV52" s="382"/>
      <c r="BW52" s="382"/>
      <c r="BX52" s="382"/>
      <c r="BY52" s="382"/>
      <c r="BZ52" s="382"/>
      <c r="CA52" s="382"/>
      <c r="CB52" s="382"/>
    </row>
    <row r="53" spans="1:81" s="239" customFormat="1" ht="13.5" customHeight="1" x14ac:dyDescent="0.2">
      <c r="A53" s="3175"/>
      <c r="B53" s="384" t="s">
        <v>13</v>
      </c>
      <c r="C53" s="3031" t="s">
        <v>162</v>
      </c>
      <c r="D53" s="357">
        <f t="shared" ref="D53:M53" si="49">+D54</f>
        <v>40910156</v>
      </c>
      <c r="E53" s="358">
        <f t="shared" si="49"/>
        <v>0</v>
      </c>
      <c r="F53" s="358">
        <f t="shared" si="49"/>
        <v>1806384</v>
      </c>
      <c r="G53" s="358">
        <f t="shared" si="49"/>
        <v>20731707</v>
      </c>
      <c r="H53" s="397">
        <f t="shared" si="49"/>
        <v>18372065</v>
      </c>
      <c r="I53" s="357">
        <f t="shared" si="49"/>
        <v>40910156</v>
      </c>
      <c r="J53" s="358">
        <f t="shared" si="49"/>
        <v>0</v>
      </c>
      <c r="K53" s="358">
        <f t="shared" si="49"/>
        <v>1806384</v>
      </c>
      <c r="L53" s="358">
        <f t="shared" si="49"/>
        <v>20731707</v>
      </c>
      <c r="M53" s="397">
        <f t="shared" si="49"/>
        <v>18372065</v>
      </c>
      <c r="N53" s="426">
        <f>P53+J53+K53</f>
        <v>2031381</v>
      </c>
      <c r="O53" s="425">
        <f t="shared" si="4"/>
        <v>4.9654687212632487</v>
      </c>
      <c r="P53" s="427">
        <f>+P54</f>
        <v>224997</v>
      </c>
      <c r="Q53" s="425">
        <f t="shared" si="5"/>
        <v>1.0852796636572184</v>
      </c>
      <c r="R53" s="358">
        <f t="shared" si="10"/>
        <v>-4957929.75</v>
      </c>
      <c r="S53" s="3177"/>
      <c r="T53" s="300"/>
      <c r="U53" s="352"/>
      <c r="V53" s="352"/>
      <c r="W53" s="352"/>
      <c r="X53" s="352"/>
      <c r="Y53" s="352"/>
      <c r="Z53" s="352"/>
      <c r="AA53" s="352"/>
      <c r="AB53" s="352"/>
      <c r="AC53" s="352"/>
      <c r="AD53" s="352"/>
      <c r="AE53" s="352"/>
      <c r="AF53" s="352"/>
      <c r="AG53" s="352"/>
      <c r="AH53" s="352"/>
      <c r="AI53" s="352"/>
      <c r="AJ53" s="352"/>
      <c r="AK53" s="352"/>
      <c r="AL53" s="352"/>
      <c r="AM53" s="352"/>
      <c r="AN53" s="352"/>
      <c r="AO53" s="352"/>
      <c r="AP53" s="352"/>
      <c r="AQ53" s="352"/>
      <c r="AR53" s="352"/>
      <c r="AS53" s="352"/>
      <c r="AT53" s="352"/>
      <c r="AU53" s="352"/>
      <c r="AV53" s="352"/>
      <c r="AW53" s="352"/>
      <c r="AX53" s="352"/>
      <c r="AY53" s="352"/>
      <c r="AZ53" s="352"/>
      <c r="BA53" s="352"/>
      <c r="BB53" s="352"/>
      <c r="BC53" s="352"/>
      <c r="BD53" s="352"/>
      <c r="BE53" s="352"/>
      <c r="BF53" s="352"/>
      <c r="BG53" s="352"/>
      <c r="BH53" s="352"/>
      <c r="BI53" s="352"/>
      <c r="BJ53" s="352"/>
      <c r="BK53" s="352"/>
      <c r="BL53" s="352"/>
      <c r="BM53" s="352"/>
      <c r="BN53" s="352"/>
      <c r="BO53" s="352"/>
      <c r="BP53" s="352"/>
      <c r="BQ53" s="352"/>
      <c r="BR53" s="352"/>
      <c r="BS53" s="352"/>
      <c r="BT53" s="352"/>
      <c r="BU53" s="352"/>
      <c r="BV53" s="352"/>
      <c r="BW53" s="352"/>
      <c r="BX53" s="352"/>
      <c r="BY53" s="352"/>
      <c r="BZ53" s="352"/>
      <c r="CA53" s="352"/>
      <c r="CB53" s="352"/>
    </row>
    <row r="54" spans="1:81" s="239" customFormat="1" ht="13.5" customHeight="1" thickBot="1" x14ac:dyDescent="0.25">
      <c r="A54" s="3176"/>
      <c r="B54" s="385" t="s">
        <v>16</v>
      </c>
      <c r="C54" s="3032"/>
      <c r="D54" s="414">
        <f>+E54+F54+G54+H54</f>
        <v>40910156</v>
      </c>
      <c r="E54" s="415">
        <v>0</v>
      </c>
      <c r="F54" s="415">
        <v>1806384</v>
      </c>
      <c r="G54" s="415">
        <v>20731707</v>
      </c>
      <c r="H54" s="416">
        <v>18372065</v>
      </c>
      <c r="I54" s="414">
        <f>+J54+K54+L54+M54</f>
        <v>40910156</v>
      </c>
      <c r="J54" s="415">
        <v>0</v>
      </c>
      <c r="K54" s="415">
        <v>1806384</v>
      </c>
      <c r="L54" s="415">
        <v>20731707</v>
      </c>
      <c r="M54" s="416">
        <v>18372065</v>
      </c>
      <c r="N54" s="432">
        <f>P54+J54+K54</f>
        <v>2031381</v>
      </c>
      <c r="O54" s="417">
        <f t="shared" si="4"/>
        <v>4.9654687212632487</v>
      </c>
      <c r="P54" s="433">
        <v>224997</v>
      </c>
      <c r="Q54" s="417">
        <f t="shared" si="5"/>
        <v>1.0852796636572184</v>
      </c>
      <c r="R54" s="415">
        <f t="shared" si="10"/>
        <v>-4957929.75</v>
      </c>
      <c r="S54" s="3178"/>
      <c r="T54" s="300"/>
      <c r="U54" s="352"/>
      <c r="V54" s="352"/>
      <c r="W54" s="352"/>
      <c r="X54" s="352"/>
      <c r="Y54" s="352"/>
      <c r="Z54" s="352"/>
      <c r="AA54" s="352"/>
      <c r="AB54" s="352"/>
      <c r="AC54" s="352"/>
      <c r="AD54" s="352"/>
      <c r="AE54" s="352"/>
      <c r="AF54" s="352"/>
      <c r="AG54" s="352"/>
      <c r="AH54" s="352"/>
      <c r="AI54" s="352"/>
      <c r="AJ54" s="352"/>
      <c r="AK54" s="352"/>
      <c r="AL54" s="352"/>
      <c r="AM54" s="352"/>
      <c r="AN54" s="352"/>
      <c r="AO54" s="352"/>
      <c r="AP54" s="352"/>
      <c r="AQ54" s="352"/>
      <c r="AR54" s="352"/>
      <c r="AS54" s="352"/>
      <c r="AT54" s="352"/>
      <c r="AU54" s="352"/>
      <c r="AV54" s="352"/>
      <c r="AW54" s="352"/>
      <c r="AX54" s="352"/>
      <c r="AY54" s="352"/>
      <c r="AZ54" s="352"/>
      <c r="BA54" s="352"/>
      <c r="BB54" s="352"/>
      <c r="BC54" s="352"/>
      <c r="BD54" s="352"/>
      <c r="BE54" s="352"/>
      <c r="BF54" s="352"/>
      <c r="BG54" s="352"/>
      <c r="BH54" s="352"/>
      <c r="BI54" s="352"/>
      <c r="BJ54" s="352"/>
      <c r="BK54" s="352"/>
      <c r="BL54" s="352"/>
      <c r="BM54" s="352"/>
      <c r="BN54" s="352"/>
      <c r="BO54" s="352"/>
      <c r="BP54" s="352"/>
      <c r="BQ54" s="352"/>
      <c r="BR54" s="352"/>
      <c r="BS54" s="352"/>
      <c r="BT54" s="352"/>
      <c r="BU54" s="352"/>
      <c r="BV54" s="352"/>
      <c r="BW54" s="352"/>
      <c r="BX54" s="352"/>
      <c r="BY54" s="352"/>
      <c r="BZ54" s="352"/>
      <c r="CA54" s="352"/>
      <c r="CB54" s="352"/>
    </row>
    <row r="55" spans="1:81" s="352" customFormat="1" ht="42" customHeight="1" x14ac:dyDescent="0.2">
      <c r="A55" s="3185" t="s">
        <v>49</v>
      </c>
      <c r="B55" s="434" t="s">
        <v>207</v>
      </c>
      <c r="C55" s="391" t="s">
        <v>280</v>
      </c>
      <c r="D55" s="419"/>
      <c r="E55" s="419"/>
      <c r="F55" s="419"/>
      <c r="G55" s="419"/>
      <c r="H55" s="420"/>
      <c r="I55" s="419"/>
      <c r="J55" s="419"/>
      <c r="K55" s="419"/>
      <c r="L55" s="419"/>
      <c r="M55" s="420"/>
      <c r="N55" s="392"/>
      <c r="O55" s="394"/>
      <c r="P55" s="395"/>
      <c r="Q55" s="394"/>
      <c r="R55" s="419"/>
      <c r="S55" s="3186" t="s">
        <v>205</v>
      </c>
      <c r="T55" s="300"/>
      <c r="CC55" s="382"/>
    </row>
    <row r="56" spans="1:81" s="352" customFormat="1" ht="14.25" customHeight="1" x14ac:dyDescent="0.2">
      <c r="A56" s="3049"/>
      <c r="B56" s="322" t="s">
        <v>3</v>
      </c>
      <c r="C56" s="396"/>
      <c r="D56" s="326">
        <f t="shared" ref="D56:G57" si="50">D57</f>
        <v>7000000</v>
      </c>
      <c r="E56" s="324">
        <f t="shared" si="50"/>
        <v>6918699</v>
      </c>
      <c r="F56" s="324">
        <f t="shared" si="50"/>
        <v>81301</v>
      </c>
      <c r="G56" s="354">
        <f t="shared" si="50"/>
        <v>0</v>
      </c>
      <c r="H56" s="380">
        <f>+H57</f>
        <v>0</v>
      </c>
      <c r="I56" s="326">
        <f t="shared" ref="I56:L57" si="51">I57</f>
        <v>6918699</v>
      </c>
      <c r="J56" s="324">
        <f t="shared" si="51"/>
        <v>6918699</v>
      </c>
      <c r="K56" s="324">
        <f t="shared" si="51"/>
        <v>0</v>
      </c>
      <c r="L56" s="354">
        <f t="shared" si="51"/>
        <v>0</v>
      </c>
      <c r="M56" s="380">
        <f>+M57</f>
        <v>0</v>
      </c>
      <c r="N56" s="326">
        <f>P56+J56+K56</f>
        <v>6918699</v>
      </c>
      <c r="O56" s="328">
        <f t="shared" si="4"/>
        <v>98.838557142857141</v>
      </c>
      <c r="P56" s="329">
        <f>P57</f>
        <v>0</v>
      </c>
      <c r="Q56" s="381">
        <v>0</v>
      </c>
      <c r="R56" s="354">
        <f t="shared" si="10"/>
        <v>0</v>
      </c>
      <c r="S56" s="3055"/>
      <c r="T56" s="300"/>
    </row>
    <row r="57" spans="1:81" s="352" customFormat="1" ht="14.25" customHeight="1" x14ac:dyDescent="0.2">
      <c r="A57" s="3049"/>
      <c r="B57" s="356" t="s">
        <v>18</v>
      </c>
      <c r="C57" s="3031" t="s">
        <v>206</v>
      </c>
      <c r="D57" s="357">
        <f t="shared" si="50"/>
        <v>7000000</v>
      </c>
      <c r="E57" s="358">
        <f t="shared" si="50"/>
        <v>6918699</v>
      </c>
      <c r="F57" s="358">
        <f t="shared" si="50"/>
        <v>81301</v>
      </c>
      <c r="G57" s="359">
        <f t="shared" si="50"/>
        <v>0</v>
      </c>
      <c r="H57" s="372">
        <f>+H58</f>
        <v>0</v>
      </c>
      <c r="I57" s="357">
        <f t="shared" si="51"/>
        <v>6918699</v>
      </c>
      <c r="J57" s="358">
        <f t="shared" si="51"/>
        <v>6918699</v>
      </c>
      <c r="K57" s="358">
        <f t="shared" si="51"/>
        <v>0</v>
      </c>
      <c r="L57" s="359">
        <f t="shared" si="51"/>
        <v>0</v>
      </c>
      <c r="M57" s="372">
        <f>+M58</f>
        <v>0</v>
      </c>
      <c r="N57" s="357">
        <f>P57+J57+K57</f>
        <v>6918699</v>
      </c>
      <c r="O57" s="361">
        <f t="shared" si="4"/>
        <v>98.838557142857141</v>
      </c>
      <c r="P57" s="362">
        <f>P58</f>
        <v>0</v>
      </c>
      <c r="Q57" s="373">
        <v>0</v>
      </c>
      <c r="R57" s="359">
        <f t="shared" si="10"/>
        <v>0</v>
      </c>
      <c r="S57" s="3055"/>
      <c r="T57" s="300"/>
    </row>
    <row r="58" spans="1:81" s="239" customFormat="1" ht="15" customHeight="1" thickBot="1" x14ac:dyDescent="0.25">
      <c r="A58" s="3050"/>
      <c r="B58" s="435" t="s">
        <v>6</v>
      </c>
      <c r="C58" s="3032"/>
      <c r="D58" s="414">
        <f>+E58+F58+G58+H58</f>
        <v>7000000</v>
      </c>
      <c r="E58" s="415">
        <f>2000000+4918699</f>
        <v>6918699</v>
      </c>
      <c r="F58" s="415">
        <v>81301</v>
      </c>
      <c r="G58" s="387">
        <v>0</v>
      </c>
      <c r="H58" s="388">
        <v>0</v>
      </c>
      <c r="I58" s="414">
        <f>+J58+K58+L58+M58</f>
        <v>6918699</v>
      </c>
      <c r="J58" s="415">
        <f>2000000+4918699</f>
        <v>6918699</v>
      </c>
      <c r="K58" s="415">
        <v>0</v>
      </c>
      <c r="L58" s="387">
        <v>0</v>
      </c>
      <c r="M58" s="388">
        <v>0</v>
      </c>
      <c r="N58" s="414">
        <f>P58+J58+K58</f>
        <v>6918699</v>
      </c>
      <c r="O58" s="417">
        <f t="shared" si="4"/>
        <v>98.838557142857141</v>
      </c>
      <c r="P58" s="403">
        <v>0</v>
      </c>
      <c r="Q58" s="389">
        <v>0</v>
      </c>
      <c r="R58" s="387">
        <f t="shared" si="10"/>
        <v>0</v>
      </c>
      <c r="S58" s="3056"/>
      <c r="T58" s="300"/>
      <c r="U58" s="352"/>
      <c r="V58" s="352"/>
      <c r="W58" s="352"/>
      <c r="X58" s="352"/>
      <c r="Y58" s="352"/>
      <c r="Z58" s="352"/>
      <c r="AA58" s="352"/>
      <c r="AB58" s="352"/>
      <c r="AC58" s="352"/>
      <c r="AD58" s="352"/>
      <c r="AE58" s="352"/>
      <c r="AF58" s="352"/>
      <c r="AG58" s="352"/>
      <c r="AH58" s="352"/>
      <c r="AI58" s="352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  <c r="BC58" s="352"/>
      <c r="BD58" s="352"/>
      <c r="BE58" s="352"/>
      <c r="BF58" s="352"/>
      <c r="BG58" s="352"/>
      <c r="BH58" s="352"/>
      <c r="BI58" s="352"/>
      <c r="BJ58" s="352"/>
      <c r="BK58" s="352"/>
      <c r="BL58" s="352"/>
      <c r="BM58" s="352"/>
      <c r="BN58" s="352"/>
      <c r="BO58" s="352"/>
      <c r="BP58" s="352"/>
      <c r="BQ58" s="352"/>
      <c r="BR58" s="352"/>
      <c r="BS58" s="352"/>
      <c r="BT58" s="352"/>
      <c r="BU58" s="352"/>
      <c r="BV58" s="352"/>
      <c r="BW58" s="352"/>
      <c r="BX58" s="352"/>
      <c r="BY58" s="352"/>
      <c r="BZ58" s="352"/>
      <c r="CA58" s="352"/>
      <c r="CB58" s="352"/>
    </row>
    <row r="59" spans="1:81" s="239" customFormat="1" ht="31.5" customHeight="1" x14ac:dyDescent="0.2">
      <c r="A59" s="3193" t="s">
        <v>51</v>
      </c>
      <c r="B59" s="436" t="s">
        <v>208</v>
      </c>
      <c r="C59" s="391" t="s">
        <v>280</v>
      </c>
      <c r="D59" s="437"/>
      <c r="E59" s="437"/>
      <c r="F59" s="437"/>
      <c r="G59" s="437"/>
      <c r="H59" s="438"/>
      <c r="I59" s="437"/>
      <c r="J59" s="437"/>
      <c r="K59" s="437"/>
      <c r="L59" s="437"/>
      <c r="M59" s="438"/>
      <c r="N59" s="347"/>
      <c r="O59" s="350"/>
      <c r="P59" s="351"/>
      <c r="Q59" s="350"/>
      <c r="R59" s="437"/>
      <c r="S59" s="3182" t="s">
        <v>209</v>
      </c>
      <c r="T59" s="300"/>
      <c r="U59" s="352"/>
      <c r="V59" s="352"/>
      <c r="W59" s="352"/>
      <c r="X59" s="352"/>
      <c r="Y59" s="352"/>
      <c r="Z59" s="352"/>
      <c r="AA59" s="352"/>
      <c r="AB59" s="352"/>
      <c r="AC59" s="352"/>
      <c r="AD59" s="352"/>
      <c r="AE59" s="352"/>
      <c r="AF59" s="352"/>
      <c r="AG59" s="352"/>
      <c r="AH59" s="352"/>
      <c r="AI59" s="35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  <c r="BC59" s="352"/>
      <c r="BD59" s="352"/>
      <c r="BE59" s="352"/>
      <c r="BF59" s="352"/>
      <c r="BG59" s="352"/>
      <c r="BH59" s="352"/>
      <c r="BI59" s="352"/>
      <c r="BJ59" s="352"/>
      <c r="BK59" s="352"/>
      <c r="BL59" s="352"/>
      <c r="BM59" s="352"/>
      <c r="BN59" s="352"/>
      <c r="BO59" s="352"/>
      <c r="BP59" s="352"/>
      <c r="BQ59" s="352"/>
      <c r="BR59" s="352"/>
      <c r="BS59" s="352"/>
      <c r="BT59" s="352"/>
      <c r="BU59" s="352"/>
      <c r="BV59" s="352"/>
      <c r="BW59" s="352"/>
      <c r="BX59" s="352"/>
      <c r="BY59" s="352"/>
      <c r="BZ59" s="352"/>
      <c r="CA59" s="352"/>
      <c r="CB59" s="352"/>
    </row>
    <row r="60" spans="1:81" s="239" customFormat="1" ht="13.5" customHeight="1" x14ac:dyDescent="0.2">
      <c r="A60" s="3175"/>
      <c r="B60" s="322" t="s">
        <v>3</v>
      </c>
      <c r="C60" s="396"/>
      <c r="D60" s="326">
        <f>D61</f>
        <v>2900000</v>
      </c>
      <c r="E60" s="324">
        <f t="shared" ref="E60:H61" si="52">E61</f>
        <v>0</v>
      </c>
      <c r="F60" s="324">
        <f t="shared" si="52"/>
        <v>840000</v>
      </c>
      <c r="G60" s="324">
        <f t="shared" si="52"/>
        <v>2060000</v>
      </c>
      <c r="H60" s="325">
        <f t="shared" si="52"/>
        <v>0</v>
      </c>
      <c r="I60" s="326">
        <f>I61</f>
        <v>2839744</v>
      </c>
      <c r="J60" s="324">
        <f t="shared" ref="J60:M61" si="53">J61</f>
        <v>0</v>
      </c>
      <c r="K60" s="324">
        <f t="shared" si="53"/>
        <v>779744</v>
      </c>
      <c r="L60" s="324">
        <f t="shared" si="53"/>
        <v>2060000</v>
      </c>
      <c r="M60" s="325">
        <f t="shared" si="53"/>
        <v>0</v>
      </c>
      <c r="N60" s="326">
        <f t="shared" ref="N60:N65" si="54">P60+J60+K60</f>
        <v>779744</v>
      </c>
      <c r="O60" s="328">
        <f t="shared" si="4"/>
        <v>26.887724137931034</v>
      </c>
      <c r="P60" s="329">
        <f>P61</f>
        <v>0</v>
      </c>
      <c r="Q60" s="328">
        <f t="shared" si="5"/>
        <v>0</v>
      </c>
      <c r="R60" s="324">
        <f t="shared" si="10"/>
        <v>-515000</v>
      </c>
      <c r="S60" s="3177"/>
      <c r="T60" s="300"/>
      <c r="U60" s="352"/>
      <c r="V60" s="352"/>
      <c r="W60" s="352"/>
      <c r="X60" s="352"/>
      <c r="Y60" s="352"/>
      <c r="Z60" s="352"/>
      <c r="AA60" s="352"/>
      <c r="AB60" s="352"/>
      <c r="AC60" s="352"/>
      <c r="AD60" s="352"/>
      <c r="AE60" s="352"/>
      <c r="AF60" s="352"/>
      <c r="AG60" s="352"/>
      <c r="AH60" s="352"/>
      <c r="AI60" s="352"/>
      <c r="AJ60" s="352"/>
      <c r="AK60" s="352"/>
      <c r="AL60" s="352"/>
      <c r="AM60" s="352"/>
      <c r="AN60" s="352"/>
      <c r="AO60" s="352"/>
      <c r="AP60" s="352"/>
      <c r="AQ60" s="352"/>
      <c r="AR60" s="352"/>
      <c r="AS60" s="352"/>
      <c r="AT60" s="352"/>
      <c r="AU60" s="352"/>
      <c r="AV60" s="352"/>
      <c r="AW60" s="352"/>
      <c r="AX60" s="352"/>
      <c r="AY60" s="352"/>
      <c r="AZ60" s="352"/>
      <c r="BA60" s="352"/>
      <c r="BB60" s="352"/>
      <c r="BC60" s="352"/>
      <c r="BD60" s="352"/>
      <c r="BE60" s="352"/>
      <c r="BF60" s="352"/>
      <c r="BG60" s="352"/>
      <c r="BH60" s="352"/>
      <c r="BI60" s="352"/>
      <c r="BJ60" s="352"/>
      <c r="BK60" s="352"/>
      <c r="BL60" s="352"/>
      <c r="BM60" s="352"/>
      <c r="BN60" s="352"/>
      <c r="BO60" s="352"/>
      <c r="BP60" s="352"/>
      <c r="BQ60" s="352"/>
      <c r="BR60" s="352"/>
      <c r="BS60" s="352"/>
      <c r="BT60" s="352"/>
      <c r="BU60" s="352"/>
      <c r="BV60" s="352"/>
      <c r="BW60" s="352"/>
      <c r="BX60" s="352"/>
      <c r="BY60" s="352"/>
      <c r="BZ60" s="352"/>
      <c r="CA60" s="352"/>
      <c r="CB60" s="352"/>
    </row>
    <row r="61" spans="1:81" s="239" customFormat="1" ht="13.5" customHeight="1" x14ac:dyDescent="0.2">
      <c r="A61" s="3175"/>
      <c r="B61" s="356" t="s">
        <v>18</v>
      </c>
      <c r="C61" s="3031" t="s">
        <v>206</v>
      </c>
      <c r="D61" s="357">
        <f>D62</f>
        <v>2900000</v>
      </c>
      <c r="E61" s="358">
        <f t="shared" si="52"/>
        <v>0</v>
      </c>
      <c r="F61" s="358">
        <f t="shared" si="52"/>
        <v>840000</v>
      </c>
      <c r="G61" s="358">
        <f t="shared" si="52"/>
        <v>2060000</v>
      </c>
      <c r="H61" s="397">
        <f t="shared" si="52"/>
        <v>0</v>
      </c>
      <c r="I61" s="357">
        <f>I62</f>
        <v>2839744</v>
      </c>
      <c r="J61" s="358">
        <f t="shared" si="53"/>
        <v>0</v>
      </c>
      <c r="K61" s="358">
        <f t="shared" si="53"/>
        <v>779744</v>
      </c>
      <c r="L61" s="358">
        <f t="shared" si="53"/>
        <v>2060000</v>
      </c>
      <c r="M61" s="397">
        <f t="shared" si="53"/>
        <v>0</v>
      </c>
      <c r="N61" s="357">
        <f t="shared" si="54"/>
        <v>779744</v>
      </c>
      <c r="O61" s="361">
        <f t="shared" si="4"/>
        <v>26.887724137931034</v>
      </c>
      <c r="P61" s="362">
        <f>P62</f>
        <v>0</v>
      </c>
      <c r="Q61" s="361">
        <f t="shared" si="5"/>
        <v>0</v>
      </c>
      <c r="R61" s="358">
        <f t="shared" si="10"/>
        <v>-515000</v>
      </c>
      <c r="S61" s="3177"/>
      <c r="T61" s="300"/>
      <c r="U61" s="352"/>
      <c r="V61" s="352"/>
      <c r="W61" s="352"/>
      <c r="X61" s="352"/>
      <c r="Y61" s="352"/>
      <c r="Z61" s="352"/>
      <c r="AA61" s="352"/>
      <c r="AB61" s="352"/>
      <c r="AC61" s="352"/>
      <c r="AD61" s="352"/>
      <c r="AE61" s="352"/>
      <c r="AF61" s="352"/>
      <c r="AG61" s="352"/>
      <c r="AH61" s="352"/>
      <c r="AI61" s="35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  <c r="BC61" s="352"/>
      <c r="BD61" s="352"/>
      <c r="BE61" s="352"/>
      <c r="BF61" s="352"/>
      <c r="BG61" s="352"/>
      <c r="BH61" s="352"/>
      <c r="BI61" s="352"/>
      <c r="BJ61" s="352"/>
      <c r="BK61" s="352"/>
      <c r="BL61" s="352"/>
      <c r="BM61" s="352"/>
      <c r="BN61" s="352"/>
      <c r="BO61" s="352"/>
      <c r="BP61" s="352"/>
      <c r="BQ61" s="352"/>
      <c r="BR61" s="352"/>
      <c r="BS61" s="352"/>
      <c r="BT61" s="352"/>
      <c r="BU61" s="352"/>
      <c r="BV61" s="352"/>
      <c r="BW61" s="352"/>
      <c r="BX61" s="352"/>
      <c r="BY61" s="352"/>
      <c r="BZ61" s="352"/>
      <c r="CA61" s="352"/>
      <c r="CB61" s="352"/>
    </row>
    <row r="62" spans="1:81" s="239" customFormat="1" ht="13.5" customHeight="1" x14ac:dyDescent="0.2">
      <c r="A62" s="3175"/>
      <c r="B62" s="398" t="s">
        <v>6</v>
      </c>
      <c r="C62" s="3059"/>
      <c r="D62" s="364">
        <f>+E62+F62+G62+H62</f>
        <v>2900000</v>
      </c>
      <c r="E62" s="365">
        <v>0</v>
      </c>
      <c r="F62" s="365">
        <v>840000</v>
      </c>
      <c r="G62" s="365">
        <v>2060000</v>
      </c>
      <c r="H62" s="404">
        <v>0</v>
      </c>
      <c r="I62" s="364">
        <f>+J62+K62+L62+M62</f>
        <v>2839744</v>
      </c>
      <c r="J62" s="365">
        <v>0</v>
      </c>
      <c r="K62" s="365">
        <v>779744</v>
      </c>
      <c r="L62" s="365">
        <v>2060000</v>
      </c>
      <c r="M62" s="404">
        <v>0</v>
      </c>
      <c r="N62" s="364">
        <f t="shared" si="54"/>
        <v>779744</v>
      </c>
      <c r="O62" s="368">
        <f t="shared" si="4"/>
        <v>26.887724137931034</v>
      </c>
      <c r="P62" s="403">
        <v>0</v>
      </c>
      <c r="Q62" s="368">
        <f t="shared" si="5"/>
        <v>0</v>
      </c>
      <c r="R62" s="365">
        <f t="shared" si="10"/>
        <v>-515000</v>
      </c>
      <c r="S62" s="3177"/>
      <c r="T62" s="300"/>
      <c r="U62" s="352"/>
      <c r="V62" s="352"/>
      <c r="W62" s="352"/>
      <c r="X62" s="352"/>
      <c r="Y62" s="352"/>
      <c r="Z62" s="352"/>
      <c r="AA62" s="352"/>
      <c r="AB62" s="352"/>
      <c r="AC62" s="352"/>
      <c r="AD62" s="352"/>
      <c r="AE62" s="352"/>
      <c r="AF62" s="352"/>
      <c r="AG62" s="352"/>
      <c r="AH62" s="352"/>
      <c r="AI62" s="35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  <c r="BC62" s="352"/>
      <c r="BD62" s="352"/>
      <c r="BE62" s="352"/>
      <c r="BF62" s="352"/>
      <c r="BG62" s="352"/>
      <c r="BH62" s="352"/>
      <c r="BI62" s="352"/>
      <c r="BJ62" s="352"/>
      <c r="BK62" s="352"/>
      <c r="BL62" s="352"/>
      <c r="BM62" s="352"/>
      <c r="BN62" s="352"/>
      <c r="BO62" s="352"/>
      <c r="BP62" s="352"/>
      <c r="BQ62" s="352"/>
      <c r="BR62" s="352"/>
      <c r="BS62" s="352"/>
      <c r="BT62" s="352"/>
      <c r="BU62" s="352"/>
      <c r="BV62" s="352"/>
      <c r="BW62" s="352"/>
      <c r="BX62" s="352"/>
      <c r="BY62" s="352"/>
      <c r="BZ62" s="352"/>
      <c r="CA62" s="352"/>
      <c r="CB62" s="352"/>
    </row>
    <row r="63" spans="1:81" s="239" customFormat="1" ht="13.5" customHeight="1" x14ac:dyDescent="0.2">
      <c r="A63" s="3175"/>
      <c r="B63" s="322" t="s">
        <v>17</v>
      </c>
      <c r="C63" s="396"/>
      <c r="D63" s="326">
        <f t="shared" ref="D63:M64" si="55">+D64</f>
        <v>0</v>
      </c>
      <c r="E63" s="324">
        <f t="shared" si="55"/>
        <v>0</v>
      </c>
      <c r="F63" s="324">
        <f t="shared" si="55"/>
        <v>0</v>
      </c>
      <c r="G63" s="324">
        <f t="shared" si="55"/>
        <v>0</v>
      </c>
      <c r="H63" s="325">
        <f t="shared" si="55"/>
        <v>0</v>
      </c>
      <c r="I63" s="326">
        <f t="shared" si="55"/>
        <v>0</v>
      </c>
      <c r="J63" s="324">
        <f t="shared" si="55"/>
        <v>0</v>
      </c>
      <c r="K63" s="324">
        <f t="shared" si="55"/>
        <v>52889</v>
      </c>
      <c r="L63" s="324">
        <f t="shared" si="55"/>
        <v>0</v>
      </c>
      <c r="M63" s="325">
        <f t="shared" si="55"/>
        <v>0</v>
      </c>
      <c r="N63" s="326">
        <f t="shared" si="54"/>
        <v>139001</v>
      </c>
      <c r="O63" s="381">
        <v>0</v>
      </c>
      <c r="P63" s="329">
        <f>P64</f>
        <v>86112</v>
      </c>
      <c r="Q63" s="381">
        <v>0</v>
      </c>
      <c r="R63" s="324">
        <f t="shared" si="10"/>
        <v>86112</v>
      </c>
      <c r="S63" s="3177"/>
      <c r="T63" s="300"/>
      <c r="U63" s="352"/>
      <c r="V63" s="352"/>
      <c r="W63" s="352"/>
      <c r="X63" s="352"/>
      <c r="Y63" s="352"/>
      <c r="Z63" s="352"/>
      <c r="AA63" s="352"/>
      <c r="AB63" s="352"/>
      <c r="AC63" s="352"/>
      <c r="AD63" s="352"/>
      <c r="AE63" s="352"/>
      <c r="AF63" s="352"/>
      <c r="AG63" s="352"/>
      <c r="AH63" s="352"/>
      <c r="AI63" s="35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  <c r="BC63" s="352"/>
      <c r="BD63" s="352"/>
      <c r="BE63" s="352"/>
      <c r="BF63" s="352"/>
      <c r="BG63" s="352"/>
      <c r="BH63" s="352"/>
      <c r="BI63" s="352"/>
      <c r="BJ63" s="352"/>
      <c r="BK63" s="352"/>
      <c r="BL63" s="352"/>
      <c r="BM63" s="352"/>
      <c r="BN63" s="352"/>
      <c r="BO63" s="352"/>
      <c r="BP63" s="352"/>
      <c r="BQ63" s="352"/>
      <c r="BR63" s="352"/>
      <c r="BS63" s="352"/>
      <c r="BT63" s="352"/>
      <c r="BU63" s="352"/>
      <c r="BV63" s="352"/>
      <c r="BW63" s="352"/>
      <c r="BX63" s="352"/>
      <c r="BY63" s="352"/>
      <c r="BZ63" s="352"/>
      <c r="CA63" s="352"/>
      <c r="CB63" s="352"/>
    </row>
    <row r="64" spans="1:81" s="239" customFormat="1" ht="13.5" customHeight="1" x14ac:dyDescent="0.2">
      <c r="A64" s="3175"/>
      <c r="B64" s="356" t="s">
        <v>18</v>
      </c>
      <c r="C64" s="3191" t="s">
        <v>97</v>
      </c>
      <c r="D64" s="407">
        <f t="shared" si="55"/>
        <v>0</v>
      </c>
      <c r="E64" s="408">
        <f t="shared" si="55"/>
        <v>0</v>
      </c>
      <c r="F64" s="408">
        <f t="shared" si="55"/>
        <v>0</v>
      </c>
      <c r="G64" s="408">
        <f t="shared" si="55"/>
        <v>0</v>
      </c>
      <c r="H64" s="409">
        <f t="shared" si="55"/>
        <v>0</v>
      </c>
      <c r="I64" s="407">
        <f t="shared" si="55"/>
        <v>0</v>
      </c>
      <c r="J64" s="408">
        <f t="shared" si="55"/>
        <v>0</v>
      </c>
      <c r="K64" s="408">
        <f t="shared" si="55"/>
        <v>52889</v>
      </c>
      <c r="L64" s="408">
        <f t="shared" si="55"/>
        <v>0</v>
      </c>
      <c r="M64" s="409">
        <f t="shared" si="55"/>
        <v>0</v>
      </c>
      <c r="N64" s="407">
        <f t="shared" si="54"/>
        <v>139001</v>
      </c>
      <c r="O64" s="439">
        <v>0</v>
      </c>
      <c r="P64" s="411">
        <f>P65</f>
        <v>86112</v>
      </c>
      <c r="Q64" s="439">
        <v>0</v>
      </c>
      <c r="R64" s="408">
        <f t="shared" si="10"/>
        <v>86112</v>
      </c>
      <c r="S64" s="3177"/>
      <c r="T64" s="300"/>
      <c r="U64" s="352"/>
      <c r="V64" s="352"/>
      <c r="W64" s="352"/>
      <c r="X64" s="352"/>
      <c r="Y64" s="352"/>
      <c r="Z64" s="352"/>
      <c r="AA64" s="352"/>
      <c r="AB64" s="352"/>
      <c r="AC64" s="352"/>
      <c r="AD64" s="352"/>
      <c r="AE64" s="352"/>
      <c r="AF64" s="352"/>
      <c r="AG64" s="352"/>
      <c r="AH64" s="352"/>
      <c r="AI64" s="35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  <c r="BC64" s="352"/>
      <c r="BD64" s="352"/>
      <c r="BE64" s="352"/>
      <c r="BF64" s="352"/>
      <c r="BG64" s="352"/>
      <c r="BH64" s="352"/>
      <c r="BI64" s="352"/>
      <c r="BJ64" s="352"/>
      <c r="BK64" s="352"/>
      <c r="BL64" s="352"/>
      <c r="BM64" s="352"/>
      <c r="BN64" s="352"/>
      <c r="BO64" s="352"/>
      <c r="BP64" s="352"/>
      <c r="BQ64" s="352"/>
      <c r="BR64" s="352"/>
      <c r="BS64" s="352"/>
      <c r="BT64" s="352"/>
      <c r="BU64" s="352"/>
      <c r="BV64" s="352"/>
      <c r="BW64" s="352"/>
      <c r="BX64" s="352"/>
      <c r="BY64" s="352"/>
      <c r="BZ64" s="352"/>
      <c r="CA64" s="352"/>
      <c r="CB64" s="352"/>
    </row>
    <row r="65" spans="1:80" s="239" customFormat="1" ht="14.25" customHeight="1" thickBot="1" x14ac:dyDescent="0.25">
      <c r="A65" s="3176"/>
      <c r="B65" s="440" t="s">
        <v>198</v>
      </c>
      <c r="C65" s="3192"/>
      <c r="D65" s="400">
        <v>0</v>
      </c>
      <c r="E65" s="412">
        <v>0</v>
      </c>
      <c r="F65" s="412">
        <v>0</v>
      </c>
      <c r="G65" s="412">
        <v>0</v>
      </c>
      <c r="H65" s="413">
        <v>0</v>
      </c>
      <c r="I65" s="400">
        <v>0</v>
      </c>
      <c r="J65" s="412">
        <v>0</v>
      </c>
      <c r="K65" s="412">
        <v>52889</v>
      </c>
      <c r="L65" s="412">
        <v>0</v>
      </c>
      <c r="M65" s="413">
        <v>0</v>
      </c>
      <c r="N65" s="407">
        <f t="shared" si="54"/>
        <v>139001</v>
      </c>
      <c r="O65" s="439">
        <v>0</v>
      </c>
      <c r="P65" s="411">
        <v>86112</v>
      </c>
      <c r="Q65" s="439">
        <v>0</v>
      </c>
      <c r="R65" s="412">
        <f t="shared" si="10"/>
        <v>86112</v>
      </c>
      <c r="S65" s="3178"/>
      <c r="T65" s="300"/>
      <c r="U65" s="352"/>
      <c r="V65" s="352"/>
      <c r="W65" s="352"/>
      <c r="X65" s="352"/>
      <c r="Y65" s="352"/>
      <c r="Z65" s="352"/>
      <c r="AA65" s="352"/>
      <c r="AB65" s="352"/>
      <c r="AC65" s="352"/>
      <c r="AD65" s="352"/>
      <c r="AE65" s="352"/>
      <c r="AF65" s="352"/>
      <c r="AG65" s="352"/>
      <c r="AH65" s="352"/>
      <c r="AI65" s="35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  <c r="BC65" s="352"/>
      <c r="BD65" s="352"/>
      <c r="BE65" s="352"/>
      <c r="BF65" s="352"/>
      <c r="BG65" s="352"/>
      <c r="BH65" s="352"/>
      <c r="BI65" s="352"/>
      <c r="BJ65" s="352"/>
      <c r="BK65" s="352"/>
      <c r="BL65" s="352"/>
      <c r="BM65" s="352"/>
      <c r="BN65" s="352"/>
      <c r="BO65" s="352"/>
      <c r="BP65" s="352"/>
      <c r="BQ65" s="352"/>
      <c r="BR65" s="352"/>
      <c r="BS65" s="352"/>
      <c r="BT65" s="352"/>
      <c r="BU65" s="352"/>
      <c r="BV65" s="352"/>
      <c r="BW65" s="352"/>
      <c r="BX65" s="352"/>
      <c r="BY65" s="352"/>
      <c r="BZ65" s="352"/>
      <c r="CA65" s="352"/>
      <c r="CB65" s="352"/>
    </row>
    <row r="66" spans="1:80" s="239" customFormat="1" ht="49.5" customHeight="1" x14ac:dyDescent="0.2">
      <c r="A66" s="3181" t="s">
        <v>52</v>
      </c>
      <c r="B66" s="441" t="s">
        <v>362</v>
      </c>
      <c r="C66" s="391" t="s">
        <v>280</v>
      </c>
      <c r="D66" s="347"/>
      <c r="E66" s="347"/>
      <c r="F66" s="347"/>
      <c r="G66" s="347"/>
      <c r="H66" s="442"/>
      <c r="I66" s="347"/>
      <c r="J66" s="347"/>
      <c r="K66" s="347"/>
      <c r="L66" s="347"/>
      <c r="M66" s="442"/>
      <c r="N66" s="347"/>
      <c r="O66" s="350"/>
      <c r="P66" s="351"/>
      <c r="Q66" s="350"/>
      <c r="R66" s="347"/>
      <c r="S66" s="3182" t="s">
        <v>203</v>
      </c>
      <c r="T66" s="300"/>
      <c r="U66" s="352"/>
      <c r="V66" s="352"/>
      <c r="W66" s="352"/>
      <c r="X66" s="352"/>
      <c r="Y66" s="352"/>
      <c r="Z66" s="352"/>
      <c r="AA66" s="352"/>
      <c r="AB66" s="352"/>
      <c r="AC66" s="352"/>
      <c r="AD66" s="352"/>
      <c r="AE66" s="352"/>
      <c r="AF66" s="352"/>
      <c r="AG66" s="352"/>
      <c r="AH66" s="352"/>
      <c r="AI66" s="35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  <c r="BC66" s="352"/>
      <c r="BD66" s="352"/>
      <c r="BE66" s="352"/>
      <c r="BF66" s="352"/>
      <c r="BG66" s="352"/>
      <c r="BH66" s="352"/>
      <c r="BI66" s="352"/>
      <c r="BJ66" s="352"/>
      <c r="BK66" s="352"/>
      <c r="BL66" s="352"/>
      <c r="BM66" s="352"/>
      <c r="BN66" s="352"/>
      <c r="BO66" s="352"/>
      <c r="BP66" s="352"/>
      <c r="BQ66" s="352"/>
      <c r="BR66" s="352"/>
      <c r="BS66" s="352"/>
      <c r="BT66" s="352"/>
      <c r="BU66" s="352"/>
      <c r="BV66" s="352"/>
      <c r="BW66" s="352"/>
      <c r="BX66" s="352"/>
      <c r="BY66" s="352"/>
      <c r="BZ66" s="352"/>
      <c r="CA66" s="352"/>
      <c r="CB66" s="352"/>
    </row>
    <row r="67" spans="1:80" s="239" customFormat="1" ht="13.5" customHeight="1" x14ac:dyDescent="0.2">
      <c r="A67" s="3179"/>
      <c r="B67" s="322" t="s">
        <v>3</v>
      </c>
      <c r="C67" s="396"/>
      <c r="D67" s="326">
        <f t="shared" ref="D67" si="56">+D68+D71</f>
        <v>1523641</v>
      </c>
      <c r="E67" s="324">
        <f>+E68+E71</f>
        <v>1064142</v>
      </c>
      <c r="F67" s="324">
        <f>+F68+F71</f>
        <v>459499</v>
      </c>
      <c r="G67" s="354">
        <f>+G68+G71</f>
        <v>0</v>
      </c>
      <c r="H67" s="380">
        <f>+H68+H71</f>
        <v>0</v>
      </c>
      <c r="I67" s="326">
        <f t="shared" ref="I67" si="57">+I68+I71</f>
        <v>1209491</v>
      </c>
      <c r="J67" s="324">
        <f>+J68+J71</f>
        <v>1064142</v>
      </c>
      <c r="K67" s="324">
        <f>+K68+K71</f>
        <v>145349</v>
      </c>
      <c r="L67" s="354">
        <f>+L68+L71</f>
        <v>0</v>
      </c>
      <c r="M67" s="380">
        <f>+M68+M71</f>
        <v>0</v>
      </c>
      <c r="N67" s="326">
        <f>+N68+N71</f>
        <v>1373603</v>
      </c>
      <c r="O67" s="328">
        <f t="shared" si="4"/>
        <v>90.152667196537777</v>
      </c>
      <c r="P67" s="421">
        <f>+P68+P71</f>
        <v>164112</v>
      </c>
      <c r="Q67" s="381">
        <v>0</v>
      </c>
      <c r="R67" s="354">
        <f t="shared" si="10"/>
        <v>164112</v>
      </c>
      <c r="S67" s="3177"/>
      <c r="T67" s="300"/>
      <c r="U67" s="352"/>
      <c r="V67" s="352"/>
      <c r="W67" s="352"/>
      <c r="X67" s="352"/>
      <c r="Y67" s="352"/>
      <c r="Z67" s="352"/>
      <c r="AA67" s="352"/>
      <c r="AB67" s="352"/>
      <c r="AC67" s="352"/>
      <c r="AD67" s="352"/>
      <c r="AE67" s="352"/>
      <c r="AF67" s="352"/>
      <c r="AG67" s="352"/>
      <c r="AH67" s="352"/>
      <c r="AI67" s="35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  <c r="BC67" s="352"/>
      <c r="BD67" s="352"/>
      <c r="BE67" s="352"/>
      <c r="BF67" s="352"/>
      <c r="BG67" s="352"/>
      <c r="BH67" s="352"/>
      <c r="BI67" s="352"/>
      <c r="BJ67" s="352"/>
      <c r="BK67" s="352"/>
      <c r="BL67" s="352"/>
      <c r="BM67" s="352"/>
      <c r="BN67" s="352"/>
      <c r="BO67" s="352"/>
      <c r="BP67" s="352"/>
      <c r="BQ67" s="352"/>
      <c r="BR67" s="352"/>
      <c r="BS67" s="352"/>
      <c r="BT67" s="352"/>
      <c r="BU67" s="352"/>
      <c r="BV67" s="352"/>
      <c r="BW67" s="352"/>
      <c r="BX67" s="352"/>
      <c r="BY67" s="352"/>
      <c r="BZ67" s="352"/>
      <c r="CA67" s="352"/>
      <c r="CB67" s="352"/>
    </row>
    <row r="68" spans="1:80" s="239" customFormat="1" ht="13.5" customHeight="1" x14ac:dyDescent="0.2">
      <c r="A68" s="3179"/>
      <c r="B68" s="356" t="s">
        <v>18</v>
      </c>
      <c r="C68" s="3031" t="s">
        <v>201</v>
      </c>
      <c r="D68" s="357">
        <f t="shared" ref="D68:E68" si="58">D70+D69</f>
        <v>244279</v>
      </c>
      <c r="E68" s="358">
        <f t="shared" si="58"/>
        <v>175354</v>
      </c>
      <c r="F68" s="358">
        <f>F70+F69</f>
        <v>68925</v>
      </c>
      <c r="G68" s="359">
        <f t="shared" ref="G68:H68" si="59">G70+G69</f>
        <v>0</v>
      </c>
      <c r="H68" s="372">
        <f t="shared" si="59"/>
        <v>0</v>
      </c>
      <c r="I68" s="357">
        <f t="shared" ref="I68:M68" si="60">I70+I69</f>
        <v>197278</v>
      </c>
      <c r="J68" s="358">
        <f t="shared" si="60"/>
        <v>175354</v>
      </c>
      <c r="K68" s="358">
        <f>K70+K69</f>
        <v>21924</v>
      </c>
      <c r="L68" s="359">
        <f t="shared" si="60"/>
        <v>0</v>
      </c>
      <c r="M68" s="372">
        <f t="shared" si="60"/>
        <v>0</v>
      </c>
      <c r="N68" s="357">
        <f>P68+J68+K68</f>
        <v>221895</v>
      </c>
      <c r="O68" s="361">
        <f t="shared" si="4"/>
        <v>90.836707207741966</v>
      </c>
      <c r="P68" s="443">
        <f>P70+P69</f>
        <v>24617</v>
      </c>
      <c r="Q68" s="373">
        <v>0</v>
      </c>
      <c r="R68" s="359">
        <f t="shared" si="10"/>
        <v>24617</v>
      </c>
      <c r="S68" s="3177"/>
      <c r="T68" s="300"/>
      <c r="U68" s="352"/>
      <c r="V68" s="352"/>
      <c r="W68" s="352"/>
      <c r="X68" s="352"/>
      <c r="Y68" s="352"/>
      <c r="Z68" s="352"/>
      <c r="AA68" s="352"/>
      <c r="AB68" s="352"/>
      <c r="AC68" s="352"/>
      <c r="AD68" s="352"/>
      <c r="AE68" s="352"/>
      <c r="AF68" s="352"/>
      <c r="AG68" s="352"/>
      <c r="AH68" s="352"/>
      <c r="AI68" s="35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  <c r="BC68" s="352"/>
      <c r="BD68" s="352"/>
      <c r="BE68" s="352"/>
      <c r="BF68" s="352"/>
      <c r="BG68" s="352"/>
      <c r="BH68" s="352"/>
      <c r="BI68" s="352"/>
      <c r="BJ68" s="352"/>
      <c r="BK68" s="352"/>
      <c r="BL68" s="352"/>
      <c r="BM68" s="352"/>
      <c r="BN68" s="352"/>
      <c r="BO68" s="352"/>
      <c r="BP68" s="352"/>
      <c r="BQ68" s="352"/>
      <c r="BR68" s="352"/>
      <c r="BS68" s="352"/>
      <c r="BT68" s="352"/>
      <c r="BU68" s="352"/>
      <c r="BV68" s="352"/>
      <c r="BW68" s="352"/>
      <c r="BX68" s="352"/>
      <c r="BY68" s="352"/>
      <c r="BZ68" s="352"/>
      <c r="CA68" s="352"/>
      <c r="CB68" s="352"/>
    </row>
    <row r="69" spans="1:80" s="239" customFormat="1" ht="13.5" customHeight="1" x14ac:dyDescent="0.2">
      <c r="A69" s="3179"/>
      <c r="B69" s="398" t="s">
        <v>7</v>
      </c>
      <c r="C69" s="3031"/>
      <c r="D69" s="364">
        <f>+E69+F69+G69+H69</f>
        <v>109125</v>
      </c>
      <c r="E69" s="365">
        <f>1566+18570+40064</f>
        <v>60200</v>
      </c>
      <c r="F69" s="365">
        <v>48925</v>
      </c>
      <c r="G69" s="366">
        <v>0</v>
      </c>
      <c r="H69" s="376">
        <v>0</v>
      </c>
      <c r="I69" s="364">
        <f>+J69+K69+L69+M69</f>
        <v>62412</v>
      </c>
      <c r="J69" s="365">
        <f>1566+18570+40064</f>
        <v>60200</v>
      </c>
      <c r="K69" s="365">
        <v>2212</v>
      </c>
      <c r="L69" s="366">
        <v>0</v>
      </c>
      <c r="M69" s="376">
        <v>0</v>
      </c>
      <c r="N69" s="364">
        <f>P69+J69+K69</f>
        <v>87029</v>
      </c>
      <c r="O69" s="368">
        <f t="shared" si="4"/>
        <v>79.751660939289806</v>
      </c>
      <c r="P69" s="444">
        <v>24617</v>
      </c>
      <c r="Q69" s="377">
        <v>0</v>
      </c>
      <c r="R69" s="366">
        <f t="shared" ref="R69:R89" si="61">+P69-L69*0.25</f>
        <v>24617</v>
      </c>
      <c r="S69" s="3177"/>
      <c r="T69" s="300"/>
      <c r="U69" s="352"/>
      <c r="V69" s="352"/>
      <c r="W69" s="352"/>
      <c r="X69" s="352"/>
      <c r="Y69" s="352"/>
      <c r="Z69" s="352"/>
      <c r="AA69" s="352"/>
      <c r="AB69" s="352"/>
      <c r="AC69" s="352"/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352"/>
      <c r="CB69" s="352"/>
    </row>
    <row r="70" spans="1:80" s="239" customFormat="1" ht="13.5" customHeight="1" x14ac:dyDescent="0.2">
      <c r="A70" s="3179"/>
      <c r="B70" s="398" t="s">
        <v>6</v>
      </c>
      <c r="C70" s="3059"/>
      <c r="D70" s="364">
        <f>+E70+F70+G70+H70</f>
        <v>135154</v>
      </c>
      <c r="E70" s="365">
        <v>115154</v>
      </c>
      <c r="F70" s="365">
        <v>20000</v>
      </c>
      <c r="G70" s="366">
        <v>0</v>
      </c>
      <c r="H70" s="376">
        <v>0</v>
      </c>
      <c r="I70" s="364">
        <f>+J70+K70+L70+M70</f>
        <v>134866</v>
      </c>
      <c r="J70" s="365">
        <v>115154</v>
      </c>
      <c r="K70" s="365">
        <v>19712</v>
      </c>
      <c r="L70" s="366">
        <v>0</v>
      </c>
      <c r="M70" s="376">
        <v>0</v>
      </c>
      <c r="N70" s="364">
        <f>P70+J70+K70</f>
        <v>134866</v>
      </c>
      <c r="O70" s="368">
        <f t="shared" si="4"/>
        <v>99.786909747399264</v>
      </c>
      <c r="P70" s="444">
        <v>0</v>
      </c>
      <c r="Q70" s="377">
        <v>0</v>
      </c>
      <c r="R70" s="366">
        <f t="shared" si="61"/>
        <v>0</v>
      </c>
      <c r="S70" s="3177"/>
      <c r="T70" s="300"/>
      <c r="U70" s="352"/>
      <c r="V70" s="352"/>
      <c r="W70" s="352"/>
      <c r="X70" s="352"/>
      <c r="Y70" s="352"/>
      <c r="Z70" s="352"/>
      <c r="AA70" s="352"/>
      <c r="AB70" s="352"/>
      <c r="AC70" s="352"/>
      <c r="AD70" s="352"/>
      <c r="AE70" s="352"/>
      <c r="AF70" s="352"/>
      <c r="AG70" s="352"/>
      <c r="AH70" s="352"/>
      <c r="AI70" s="35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  <c r="BC70" s="352"/>
      <c r="BD70" s="352"/>
      <c r="BE70" s="352"/>
      <c r="BF70" s="352"/>
      <c r="BG70" s="352"/>
      <c r="BH70" s="352"/>
      <c r="BI70" s="352"/>
      <c r="BJ70" s="352"/>
      <c r="BK70" s="352"/>
      <c r="BL70" s="352"/>
      <c r="BM70" s="352"/>
      <c r="BN70" s="352"/>
      <c r="BO70" s="352"/>
      <c r="BP70" s="352"/>
      <c r="BQ70" s="352"/>
      <c r="BR70" s="352"/>
      <c r="BS70" s="352"/>
      <c r="BT70" s="352"/>
      <c r="BU70" s="352"/>
      <c r="BV70" s="352"/>
      <c r="BW70" s="352"/>
      <c r="BX70" s="352"/>
      <c r="BY70" s="352"/>
      <c r="BZ70" s="352"/>
      <c r="CA70" s="352"/>
      <c r="CB70" s="352"/>
    </row>
    <row r="71" spans="1:80" s="239" customFormat="1" ht="13.5" customHeight="1" x14ac:dyDescent="0.2">
      <c r="A71" s="3179"/>
      <c r="B71" s="370" t="s">
        <v>13</v>
      </c>
      <c r="C71" s="3059"/>
      <c r="D71" s="357">
        <f t="shared" ref="D71:M71" si="62">+D72</f>
        <v>1279362</v>
      </c>
      <c r="E71" s="358">
        <f t="shared" si="62"/>
        <v>888788</v>
      </c>
      <c r="F71" s="358">
        <f t="shared" si="62"/>
        <v>390574</v>
      </c>
      <c r="G71" s="359">
        <f t="shared" si="62"/>
        <v>0</v>
      </c>
      <c r="H71" s="372">
        <f t="shared" si="62"/>
        <v>0</v>
      </c>
      <c r="I71" s="357">
        <f t="shared" si="62"/>
        <v>1012213</v>
      </c>
      <c r="J71" s="358">
        <f t="shared" si="62"/>
        <v>888788</v>
      </c>
      <c r="K71" s="358">
        <f t="shared" si="62"/>
        <v>123425</v>
      </c>
      <c r="L71" s="359">
        <f t="shared" si="62"/>
        <v>0</v>
      </c>
      <c r="M71" s="372">
        <f t="shared" si="62"/>
        <v>0</v>
      </c>
      <c r="N71" s="358">
        <f>+N72</f>
        <v>1151708</v>
      </c>
      <c r="O71" s="361">
        <f t="shared" si="4"/>
        <v>90.022057869469322</v>
      </c>
      <c r="P71" s="362">
        <f>+P72</f>
        <v>139495</v>
      </c>
      <c r="Q71" s="373">
        <v>0</v>
      </c>
      <c r="R71" s="359">
        <f t="shared" si="61"/>
        <v>139495</v>
      </c>
      <c r="S71" s="3177"/>
      <c r="T71" s="300"/>
      <c r="U71" s="352"/>
      <c r="V71" s="352"/>
      <c r="W71" s="352"/>
      <c r="X71" s="352"/>
      <c r="Y71" s="352"/>
      <c r="Z71" s="352"/>
      <c r="AA71" s="352"/>
      <c r="AB71" s="352"/>
      <c r="AC71" s="352"/>
      <c r="AD71" s="352"/>
      <c r="AE71" s="352"/>
      <c r="AF71" s="352"/>
      <c r="AG71" s="352"/>
      <c r="AH71" s="352"/>
      <c r="AI71" s="35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  <c r="BC71" s="352"/>
      <c r="BD71" s="352"/>
      <c r="BE71" s="352"/>
      <c r="BF71" s="352"/>
      <c r="BG71" s="352"/>
      <c r="BH71" s="352"/>
      <c r="BI71" s="352"/>
      <c r="BJ71" s="352"/>
      <c r="BK71" s="352"/>
      <c r="BL71" s="352"/>
      <c r="BM71" s="352"/>
      <c r="BN71" s="352"/>
      <c r="BO71" s="352"/>
      <c r="BP71" s="352"/>
      <c r="BQ71" s="352"/>
      <c r="BR71" s="352"/>
      <c r="BS71" s="352"/>
      <c r="BT71" s="352"/>
      <c r="BU71" s="352"/>
      <c r="BV71" s="352"/>
      <c r="BW71" s="352"/>
      <c r="BX71" s="352"/>
      <c r="BY71" s="352"/>
      <c r="BZ71" s="352"/>
      <c r="CA71" s="352"/>
      <c r="CB71" s="352"/>
    </row>
    <row r="72" spans="1:80" s="239" customFormat="1" ht="13.5" customHeight="1" x14ac:dyDescent="0.2">
      <c r="A72" s="3179"/>
      <c r="B72" s="374" t="s">
        <v>16</v>
      </c>
      <c r="C72" s="3059"/>
      <c r="D72" s="364">
        <f>+E72+F72+G72+H72</f>
        <v>1279362</v>
      </c>
      <c r="E72" s="365">
        <f>114075+774713</f>
        <v>888788</v>
      </c>
      <c r="F72" s="365">
        <v>390574</v>
      </c>
      <c r="G72" s="366">
        <v>0</v>
      </c>
      <c r="H72" s="376">
        <v>0</v>
      </c>
      <c r="I72" s="364">
        <f>+J72+K72+L72+M72</f>
        <v>1012213</v>
      </c>
      <c r="J72" s="365">
        <f>114075+774713</f>
        <v>888788</v>
      </c>
      <c r="K72" s="365">
        <v>123425</v>
      </c>
      <c r="L72" s="366">
        <v>0</v>
      </c>
      <c r="M72" s="376">
        <v>0</v>
      </c>
      <c r="N72" s="364">
        <f>P72+J72+K72</f>
        <v>1151708</v>
      </c>
      <c r="O72" s="368">
        <f t="shared" si="4"/>
        <v>90.022057869469322</v>
      </c>
      <c r="P72" s="444">
        <v>139495</v>
      </c>
      <c r="Q72" s="377">
        <v>0</v>
      </c>
      <c r="R72" s="366">
        <f t="shared" si="61"/>
        <v>139495</v>
      </c>
      <c r="S72" s="3177"/>
      <c r="T72" s="300"/>
      <c r="U72" s="352"/>
      <c r="V72" s="352"/>
      <c r="W72" s="352"/>
      <c r="X72" s="352"/>
      <c r="Y72" s="352"/>
      <c r="Z72" s="352"/>
      <c r="AA72" s="352"/>
      <c r="AB72" s="352"/>
      <c r="AC72" s="352"/>
      <c r="AD72" s="352"/>
      <c r="AE72" s="352"/>
      <c r="AF72" s="352"/>
      <c r="AG72" s="352"/>
      <c r="AH72" s="352"/>
      <c r="AI72" s="35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  <c r="BC72" s="352"/>
      <c r="BD72" s="352"/>
      <c r="BE72" s="352"/>
      <c r="BF72" s="352"/>
      <c r="BG72" s="352"/>
      <c r="BH72" s="352"/>
      <c r="BI72" s="352"/>
      <c r="BJ72" s="352"/>
      <c r="BK72" s="352"/>
      <c r="BL72" s="352"/>
      <c r="BM72" s="352"/>
      <c r="BN72" s="352"/>
      <c r="BO72" s="352"/>
      <c r="BP72" s="352"/>
      <c r="BQ72" s="352"/>
      <c r="BR72" s="352"/>
      <c r="BS72" s="352"/>
      <c r="BT72" s="352"/>
      <c r="BU72" s="352"/>
      <c r="BV72" s="352"/>
      <c r="BW72" s="352"/>
      <c r="BX72" s="352"/>
      <c r="BY72" s="352"/>
      <c r="BZ72" s="352"/>
      <c r="CA72" s="352"/>
      <c r="CB72" s="352"/>
    </row>
    <row r="73" spans="1:80" s="239" customFormat="1" ht="13.5" customHeight="1" x14ac:dyDescent="0.2">
      <c r="A73" s="3179"/>
      <c r="B73" s="322" t="s">
        <v>17</v>
      </c>
      <c r="C73" s="378"/>
      <c r="D73" s="326">
        <f>D76+D74</f>
        <v>1279362</v>
      </c>
      <c r="E73" s="324">
        <f>E76</f>
        <v>124295</v>
      </c>
      <c r="F73" s="324">
        <f>F76</f>
        <v>1155067</v>
      </c>
      <c r="G73" s="354">
        <f>G76</f>
        <v>0</v>
      </c>
      <c r="H73" s="380">
        <f>H76+H74</f>
        <v>0</v>
      </c>
      <c r="I73" s="326">
        <f>I76+I74</f>
        <v>919090</v>
      </c>
      <c r="J73" s="324">
        <f>J76</f>
        <v>124295</v>
      </c>
      <c r="K73" s="324">
        <f>K76</f>
        <v>794795</v>
      </c>
      <c r="L73" s="354">
        <f>L76</f>
        <v>0</v>
      </c>
      <c r="M73" s="380">
        <f>M76+M74</f>
        <v>0</v>
      </c>
      <c r="N73" s="326">
        <f>+N76</f>
        <v>1058585</v>
      </c>
      <c r="O73" s="328">
        <f t="shared" si="4"/>
        <v>82.743195436475375</v>
      </c>
      <c r="P73" s="421">
        <f>P76</f>
        <v>139495</v>
      </c>
      <c r="Q73" s="381">
        <v>0</v>
      </c>
      <c r="R73" s="354">
        <f t="shared" si="61"/>
        <v>139495</v>
      </c>
      <c r="S73" s="3177"/>
      <c r="T73" s="300"/>
      <c r="U73" s="352"/>
      <c r="V73" s="352"/>
      <c r="W73" s="352"/>
      <c r="X73" s="352"/>
      <c r="Y73" s="352"/>
      <c r="Z73" s="352"/>
      <c r="AA73" s="352"/>
      <c r="AB73" s="352"/>
      <c r="AC73" s="352"/>
      <c r="AD73" s="352"/>
      <c r="AE73" s="352"/>
      <c r="AF73" s="352"/>
      <c r="AG73" s="352"/>
      <c r="AH73" s="352"/>
      <c r="AI73" s="35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  <c r="BC73" s="352"/>
      <c r="BD73" s="352"/>
      <c r="BE73" s="352"/>
      <c r="BF73" s="352"/>
      <c r="BG73" s="352"/>
      <c r="BH73" s="352"/>
      <c r="BI73" s="352"/>
      <c r="BJ73" s="352"/>
      <c r="BK73" s="352"/>
      <c r="BL73" s="352"/>
      <c r="BM73" s="352"/>
      <c r="BN73" s="352"/>
      <c r="BO73" s="352"/>
      <c r="BP73" s="352"/>
      <c r="BQ73" s="352"/>
      <c r="BR73" s="352"/>
      <c r="BS73" s="352"/>
      <c r="BT73" s="352"/>
      <c r="BU73" s="352"/>
      <c r="BV73" s="352"/>
      <c r="BW73" s="352"/>
      <c r="BX73" s="352"/>
      <c r="BY73" s="352"/>
      <c r="BZ73" s="352"/>
      <c r="CA73" s="352"/>
      <c r="CB73" s="352"/>
    </row>
    <row r="74" spans="1:80" s="239" customFormat="1" ht="13.5" hidden="1" customHeight="1" x14ac:dyDescent="0.2">
      <c r="A74" s="3179"/>
      <c r="B74" s="356" t="s">
        <v>18</v>
      </c>
      <c r="C74" s="406"/>
      <c r="D74" s="445">
        <f t="shared" ref="D74:H74" si="63">+D75</f>
        <v>0</v>
      </c>
      <c r="E74" s="446">
        <f t="shared" si="63"/>
        <v>0</v>
      </c>
      <c r="F74" s="446">
        <f t="shared" si="63"/>
        <v>0</v>
      </c>
      <c r="G74" s="446">
        <f t="shared" si="63"/>
        <v>0</v>
      </c>
      <c r="H74" s="447">
        <f t="shared" si="63"/>
        <v>0</v>
      </c>
      <c r="I74" s="445">
        <f t="shared" ref="I74:N74" si="64">+I75</f>
        <v>0</v>
      </c>
      <c r="J74" s="446">
        <f t="shared" si="64"/>
        <v>0</v>
      </c>
      <c r="K74" s="446">
        <f t="shared" si="64"/>
        <v>0</v>
      </c>
      <c r="L74" s="446">
        <f t="shared" si="64"/>
        <v>0</v>
      </c>
      <c r="M74" s="447">
        <f t="shared" si="64"/>
        <v>0</v>
      </c>
      <c r="N74" s="445">
        <f t="shared" si="64"/>
        <v>0</v>
      </c>
      <c r="O74" s="439" t="e">
        <f t="shared" ref="O74:O89" si="65">N74/D74*100</f>
        <v>#DIV/0!</v>
      </c>
      <c r="P74" s="448">
        <f>+P75</f>
        <v>0</v>
      </c>
      <c r="Q74" s="439" t="e">
        <f t="shared" ref="Q74:Q88" si="66">P74/G74*100</f>
        <v>#DIV/0!</v>
      </c>
      <c r="R74" s="446">
        <f t="shared" si="61"/>
        <v>0</v>
      </c>
      <c r="S74" s="3177"/>
      <c r="T74" s="300"/>
      <c r="U74" s="352"/>
      <c r="V74" s="352"/>
      <c r="W74" s="352"/>
      <c r="X74" s="352"/>
      <c r="Y74" s="352"/>
      <c r="Z74" s="352"/>
      <c r="AA74" s="352"/>
      <c r="AB74" s="352"/>
      <c r="AC74" s="352"/>
      <c r="AD74" s="352"/>
      <c r="AE74" s="352"/>
      <c r="AF74" s="352"/>
      <c r="AG74" s="352"/>
      <c r="AH74" s="352"/>
      <c r="AI74" s="35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  <c r="BC74" s="352"/>
      <c r="BD74" s="352"/>
      <c r="BE74" s="352"/>
      <c r="BF74" s="352"/>
      <c r="BG74" s="352"/>
      <c r="BH74" s="352"/>
      <c r="BI74" s="352"/>
      <c r="BJ74" s="352"/>
      <c r="BK74" s="352"/>
      <c r="BL74" s="352"/>
      <c r="BM74" s="352"/>
      <c r="BN74" s="352"/>
      <c r="BO74" s="352"/>
      <c r="BP74" s="352"/>
      <c r="BQ74" s="352"/>
      <c r="BR74" s="352"/>
      <c r="BS74" s="352"/>
      <c r="BT74" s="352"/>
      <c r="BU74" s="352"/>
      <c r="BV74" s="352"/>
      <c r="BW74" s="352"/>
      <c r="BX74" s="352"/>
      <c r="BY74" s="352"/>
      <c r="BZ74" s="352"/>
      <c r="CA74" s="352"/>
      <c r="CB74" s="352"/>
    </row>
    <row r="75" spans="1:80" s="239" customFormat="1" ht="12.75" hidden="1" customHeight="1" x14ac:dyDescent="0.2">
      <c r="A75" s="3179"/>
      <c r="B75" s="398" t="s">
        <v>198</v>
      </c>
      <c r="C75" s="406"/>
      <c r="D75" s="449">
        <f>+E75+F75+G75+H75</f>
        <v>0</v>
      </c>
      <c r="E75" s="450">
        <v>0</v>
      </c>
      <c r="F75" s="450">
        <v>0</v>
      </c>
      <c r="G75" s="450">
        <v>0</v>
      </c>
      <c r="H75" s="451">
        <v>0</v>
      </c>
      <c r="I75" s="449">
        <f>+J75+K75+L75+M75</f>
        <v>0</v>
      </c>
      <c r="J75" s="450">
        <v>0</v>
      </c>
      <c r="K75" s="450">
        <v>0</v>
      </c>
      <c r="L75" s="450">
        <v>0</v>
      </c>
      <c r="M75" s="451">
        <v>0</v>
      </c>
      <c r="N75" s="445">
        <f>P75+J75+K75</f>
        <v>0</v>
      </c>
      <c r="O75" s="439" t="e">
        <f t="shared" si="65"/>
        <v>#DIV/0!</v>
      </c>
      <c r="P75" s="448">
        <v>0</v>
      </c>
      <c r="Q75" s="439" t="e">
        <f t="shared" si="66"/>
        <v>#DIV/0!</v>
      </c>
      <c r="R75" s="450">
        <f t="shared" si="61"/>
        <v>0</v>
      </c>
      <c r="S75" s="3177"/>
      <c r="T75" s="300"/>
      <c r="U75" s="352"/>
      <c r="V75" s="352"/>
      <c r="W75" s="352"/>
      <c r="X75" s="352"/>
      <c r="Y75" s="352"/>
      <c r="Z75" s="352"/>
      <c r="AA75" s="352"/>
      <c r="AB75" s="352"/>
      <c r="AC75" s="352"/>
      <c r="AD75" s="352"/>
      <c r="AE75" s="352"/>
      <c r="AF75" s="352"/>
      <c r="AG75" s="352"/>
      <c r="AH75" s="352"/>
      <c r="AI75" s="35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  <c r="BC75" s="352"/>
      <c r="BD75" s="352"/>
      <c r="BE75" s="352"/>
      <c r="BF75" s="352"/>
      <c r="BG75" s="352"/>
      <c r="BH75" s="352"/>
      <c r="BI75" s="352"/>
      <c r="BJ75" s="352"/>
      <c r="BK75" s="352"/>
      <c r="BL75" s="352"/>
      <c r="BM75" s="352"/>
      <c r="BN75" s="352"/>
      <c r="BO75" s="352"/>
      <c r="BP75" s="352"/>
      <c r="BQ75" s="352"/>
      <c r="BR75" s="352"/>
      <c r="BS75" s="352"/>
      <c r="BT75" s="352"/>
      <c r="BU75" s="352"/>
      <c r="BV75" s="352"/>
      <c r="BW75" s="352"/>
      <c r="BX75" s="352"/>
      <c r="BY75" s="352"/>
      <c r="BZ75" s="352"/>
      <c r="CA75" s="352"/>
      <c r="CB75" s="352"/>
    </row>
    <row r="76" spans="1:80" s="239" customFormat="1" ht="13.5" customHeight="1" x14ac:dyDescent="0.2">
      <c r="A76" s="3179"/>
      <c r="B76" s="384" t="s">
        <v>13</v>
      </c>
      <c r="C76" s="3031" t="s">
        <v>162</v>
      </c>
      <c r="D76" s="357">
        <f>+D77</f>
        <v>1279362</v>
      </c>
      <c r="E76" s="358">
        <f t="shared" ref="E76:K76" si="67">+E77</f>
        <v>124295</v>
      </c>
      <c r="F76" s="358">
        <f t="shared" si="67"/>
        <v>1155067</v>
      </c>
      <c r="G76" s="359">
        <f>+G77</f>
        <v>0</v>
      </c>
      <c r="H76" s="372">
        <f>+H77</f>
        <v>0</v>
      </c>
      <c r="I76" s="357">
        <f>+I77</f>
        <v>919090</v>
      </c>
      <c r="J76" s="358">
        <f t="shared" si="67"/>
        <v>124295</v>
      </c>
      <c r="K76" s="358">
        <f t="shared" si="67"/>
        <v>794795</v>
      </c>
      <c r="L76" s="359">
        <f>+L77</f>
        <v>0</v>
      </c>
      <c r="M76" s="372">
        <f>+M77</f>
        <v>0</v>
      </c>
      <c r="N76" s="357">
        <f>+N77</f>
        <v>1058585</v>
      </c>
      <c r="O76" s="361">
        <f t="shared" si="65"/>
        <v>82.743195436475375</v>
      </c>
      <c r="P76" s="443">
        <f>+P77</f>
        <v>139495</v>
      </c>
      <c r="Q76" s="373">
        <v>0</v>
      </c>
      <c r="R76" s="359">
        <f t="shared" si="61"/>
        <v>139495</v>
      </c>
      <c r="S76" s="3177"/>
      <c r="T76" s="300"/>
      <c r="U76" s="352"/>
      <c r="V76" s="352"/>
      <c r="W76" s="352"/>
      <c r="X76" s="352"/>
      <c r="Y76" s="352"/>
      <c r="Z76" s="352"/>
      <c r="AA76" s="352"/>
      <c r="AB76" s="352"/>
      <c r="AC76" s="352"/>
      <c r="AD76" s="352"/>
      <c r="AE76" s="352"/>
      <c r="AF76" s="352"/>
      <c r="AG76" s="352"/>
      <c r="AH76" s="352"/>
      <c r="AI76" s="35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  <c r="BC76" s="352"/>
      <c r="BD76" s="352"/>
      <c r="BE76" s="352"/>
      <c r="BF76" s="352"/>
      <c r="BG76" s="352"/>
      <c r="BH76" s="352"/>
      <c r="BI76" s="352"/>
      <c r="BJ76" s="352"/>
      <c r="BK76" s="352"/>
      <c r="BL76" s="352"/>
      <c r="BM76" s="352"/>
      <c r="BN76" s="352"/>
      <c r="BO76" s="352"/>
      <c r="BP76" s="352"/>
      <c r="BQ76" s="352"/>
      <c r="BR76" s="352"/>
      <c r="BS76" s="352"/>
      <c r="BT76" s="352"/>
      <c r="BU76" s="352"/>
      <c r="BV76" s="352"/>
      <c r="BW76" s="352"/>
      <c r="BX76" s="352"/>
      <c r="BY76" s="352"/>
      <c r="BZ76" s="352"/>
      <c r="CA76" s="352"/>
      <c r="CB76" s="352"/>
    </row>
    <row r="77" spans="1:80" s="239" customFormat="1" ht="13.5" customHeight="1" thickBot="1" x14ac:dyDescent="0.25">
      <c r="A77" s="3180"/>
      <c r="B77" s="385" t="s">
        <v>16</v>
      </c>
      <c r="C77" s="3032"/>
      <c r="D77" s="414">
        <f>+E77+F77+G77+H77</f>
        <v>1279362</v>
      </c>
      <c r="E77" s="415">
        <v>124295</v>
      </c>
      <c r="F77" s="415">
        <v>1155067</v>
      </c>
      <c r="G77" s="387">
        <v>0</v>
      </c>
      <c r="H77" s="388">
        <v>0</v>
      </c>
      <c r="I77" s="414">
        <f>+J77+K77+L77+M77</f>
        <v>919090</v>
      </c>
      <c r="J77" s="415">
        <v>124295</v>
      </c>
      <c r="K77" s="415">
        <v>794795</v>
      </c>
      <c r="L77" s="387">
        <v>0</v>
      </c>
      <c r="M77" s="388">
        <v>0</v>
      </c>
      <c r="N77" s="414">
        <f>P77+J77+K77</f>
        <v>1058585</v>
      </c>
      <c r="O77" s="417">
        <f t="shared" si="65"/>
        <v>82.743195436475375</v>
      </c>
      <c r="P77" s="452">
        <v>139495</v>
      </c>
      <c r="Q77" s="389">
        <v>0</v>
      </c>
      <c r="R77" s="387">
        <f t="shared" si="61"/>
        <v>139495</v>
      </c>
      <c r="S77" s="3178"/>
      <c r="T77" s="300"/>
      <c r="U77" s="352"/>
      <c r="V77" s="352"/>
      <c r="W77" s="352"/>
      <c r="X77" s="352"/>
      <c r="Y77" s="352"/>
      <c r="Z77" s="352"/>
      <c r="AA77" s="352"/>
      <c r="AB77" s="352"/>
      <c r="AC77" s="352"/>
      <c r="AD77" s="352"/>
      <c r="AE77" s="352"/>
      <c r="AF77" s="352"/>
      <c r="AG77" s="352"/>
      <c r="AH77" s="352"/>
      <c r="AI77" s="35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  <c r="BC77" s="352"/>
      <c r="BD77" s="352"/>
      <c r="BE77" s="352"/>
      <c r="BF77" s="352"/>
      <c r="BG77" s="352"/>
      <c r="BH77" s="352"/>
      <c r="BI77" s="352"/>
      <c r="BJ77" s="352"/>
      <c r="BK77" s="352"/>
      <c r="BL77" s="352"/>
      <c r="BM77" s="352"/>
      <c r="BN77" s="352"/>
      <c r="BO77" s="352"/>
      <c r="BP77" s="352"/>
      <c r="BQ77" s="352"/>
      <c r="BR77" s="352"/>
      <c r="BS77" s="352"/>
      <c r="BT77" s="352"/>
      <c r="BU77" s="352"/>
      <c r="BV77" s="352"/>
      <c r="BW77" s="352"/>
      <c r="BX77" s="352"/>
      <c r="BY77" s="352"/>
      <c r="BZ77" s="352"/>
      <c r="CA77" s="352"/>
      <c r="CB77" s="352"/>
    </row>
    <row r="78" spans="1:80" s="239" customFormat="1" ht="54.75" customHeight="1" x14ac:dyDescent="0.2">
      <c r="A78" s="3179" t="s">
        <v>53</v>
      </c>
      <c r="B78" s="434" t="s">
        <v>210</v>
      </c>
      <c r="C78" s="391" t="s">
        <v>280</v>
      </c>
      <c r="D78" s="392"/>
      <c r="E78" s="392"/>
      <c r="F78" s="392"/>
      <c r="G78" s="392"/>
      <c r="H78" s="393"/>
      <c r="I78" s="392"/>
      <c r="J78" s="392"/>
      <c r="K78" s="392"/>
      <c r="L78" s="392"/>
      <c r="M78" s="393"/>
      <c r="N78" s="392"/>
      <c r="O78" s="394"/>
      <c r="P78" s="395"/>
      <c r="Q78" s="394"/>
      <c r="R78" s="392">
        <f t="shared" si="61"/>
        <v>0</v>
      </c>
      <c r="S78" s="3187" t="s">
        <v>211</v>
      </c>
      <c r="T78" s="300"/>
      <c r="U78" s="352"/>
      <c r="V78" s="352"/>
      <c r="W78" s="352"/>
      <c r="X78" s="352"/>
      <c r="Y78" s="352"/>
      <c r="Z78" s="352"/>
      <c r="AA78" s="352"/>
      <c r="AB78" s="352"/>
      <c r="AC78" s="352"/>
      <c r="AD78" s="352"/>
      <c r="AE78" s="352"/>
      <c r="AF78" s="352"/>
      <c r="AG78" s="352"/>
      <c r="AH78" s="352"/>
      <c r="AI78" s="352"/>
      <c r="AJ78" s="352"/>
      <c r="AK78" s="352"/>
      <c r="AL78" s="352"/>
      <c r="AM78" s="352"/>
      <c r="AN78" s="352"/>
      <c r="AO78" s="352"/>
      <c r="AP78" s="352"/>
      <c r="AQ78" s="352"/>
      <c r="AR78" s="352"/>
      <c r="AS78" s="352"/>
      <c r="AT78" s="352"/>
      <c r="AU78" s="352"/>
      <c r="AV78" s="352"/>
      <c r="AW78" s="352"/>
      <c r="AX78" s="352"/>
      <c r="AY78" s="352"/>
      <c r="AZ78" s="352"/>
      <c r="BA78" s="352"/>
      <c r="BB78" s="352"/>
      <c r="BC78" s="352"/>
      <c r="BD78" s="352"/>
      <c r="BE78" s="352"/>
      <c r="BF78" s="352"/>
      <c r="BG78" s="352"/>
      <c r="BH78" s="352"/>
      <c r="BI78" s="352"/>
      <c r="BJ78" s="352"/>
      <c r="BK78" s="352"/>
      <c r="BL78" s="352"/>
      <c r="BM78" s="352"/>
      <c r="BN78" s="352"/>
      <c r="BO78" s="352"/>
      <c r="BP78" s="352"/>
      <c r="BQ78" s="352"/>
      <c r="BR78" s="352"/>
      <c r="BS78" s="352"/>
      <c r="BT78" s="352"/>
      <c r="BU78" s="352"/>
      <c r="BV78" s="352"/>
      <c r="BW78" s="352"/>
      <c r="BX78" s="352"/>
      <c r="BY78" s="352"/>
      <c r="BZ78" s="352"/>
      <c r="CA78" s="352"/>
      <c r="CB78" s="352"/>
    </row>
    <row r="79" spans="1:80" s="239" customFormat="1" ht="13.5" customHeight="1" x14ac:dyDescent="0.2">
      <c r="A79" s="3179"/>
      <c r="B79" s="322" t="s">
        <v>3</v>
      </c>
      <c r="C79" s="378"/>
      <c r="D79" s="326">
        <f>+D80+D83</f>
        <v>24935520</v>
      </c>
      <c r="E79" s="324">
        <f>+E80+E83</f>
        <v>0</v>
      </c>
      <c r="F79" s="324">
        <f>F80</f>
        <v>145091</v>
      </c>
      <c r="G79" s="324">
        <f>+G80+G83</f>
        <v>9225000</v>
      </c>
      <c r="H79" s="325">
        <f>+H80+H83</f>
        <v>15565429</v>
      </c>
      <c r="I79" s="326">
        <f>+I80+I83</f>
        <v>24935520</v>
      </c>
      <c r="J79" s="324">
        <f>+J80+J83</f>
        <v>0</v>
      </c>
      <c r="K79" s="324">
        <f>K80</f>
        <v>145091</v>
      </c>
      <c r="L79" s="324">
        <f>+L80+L83</f>
        <v>9225000</v>
      </c>
      <c r="M79" s="325">
        <f>+M80+M83</f>
        <v>15565429</v>
      </c>
      <c r="N79" s="326">
        <f t="shared" ref="N79:N89" si="68">P79+J79+K79</f>
        <v>157229</v>
      </c>
      <c r="O79" s="328">
        <f t="shared" si="65"/>
        <v>0.63054229468645528</v>
      </c>
      <c r="P79" s="329">
        <f>+P80+P83</f>
        <v>12138</v>
      </c>
      <c r="Q79" s="328">
        <f t="shared" si="66"/>
        <v>0.13157723577235772</v>
      </c>
      <c r="R79" s="324">
        <f t="shared" si="61"/>
        <v>-2294112</v>
      </c>
      <c r="S79" s="3187"/>
      <c r="T79" s="300"/>
      <c r="U79" s="352"/>
      <c r="V79" s="352"/>
      <c r="W79" s="352"/>
      <c r="X79" s="352"/>
      <c r="Y79" s="352"/>
      <c r="Z79" s="352"/>
      <c r="AA79" s="352"/>
      <c r="AB79" s="352"/>
      <c r="AC79" s="352"/>
      <c r="AD79" s="352"/>
      <c r="AE79" s="352"/>
      <c r="AF79" s="352"/>
      <c r="AG79" s="352"/>
      <c r="AH79" s="352"/>
      <c r="AI79" s="35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  <c r="BC79" s="352"/>
      <c r="BD79" s="352"/>
      <c r="BE79" s="352"/>
      <c r="BF79" s="352"/>
      <c r="BG79" s="352"/>
      <c r="BH79" s="352"/>
      <c r="BI79" s="352"/>
      <c r="BJ79" s="352"/>
      <c r="BK79" s="352"/>
      <c r="BL79" s="352"/>
      <c r="BM79" s="352"/>
      <c r="BN79" s="352"/>
      <c r="BO79" s="352"/>
      <c r="BP79" s="352"/>
      <c r="BQ79" s="352"/>
      <c r="BR79" s="352"/>
      <c r="BS79" s="352"/>
      <c r="BT79" s="352"/>
      <c r="BU79" s="352"/>
      <c r="BV79" s="352"/>
      <c r="BW79" s="352"/>
      <c r="BX79" s="352"/>
      <c r="BY79" s="352"/>
      <c r="BZ79" s="352"/>
      <c r="CA79" s="352"/>
      <c r="CB79" s="352"/>
    </row>
    <row r="80" spans="1:80" s="239" customFormat="1" ht="13.5" customHeight="1" x14ac:dyDescent="0.2">
      <c r="A80" s="3179"/>
      <c r="B80" s="356" t="s">
        <v>18</v>
      </c>
      <c r="C80" s="3031" t="s">
        <v>212</v>
      </c>
      <c r="D80" s="453">
        <f t="shared" ref="D80:H80" si="69">D82+D81</f>
        <v>9730935</v>
      </c>
      <c r="E80" s="454">
        <f t="shared" si="69"/>
        <v>0</v>
      </c>
      <c r="F80" s="454">
        <f t="shared" si="69"/>
        <v>145091</v>
      </c>
      <c r="G80" s="454">
        <f t="shared" si="69"/>
        <v>3511530</v>
      </c>
      <c r="H80" s="455">
        <f t="shared" si="69"/>
        <v>6074314</v>
      </c>
      <c r="I80" s="453">
        <f t="shared" ref="I80:L80" si="70">I82+I81</f>
        <v>9730935</v>
      </c>
      <c r="J80" s="454">
        <f t="shared" si="70"/>
        <v>0</v>
      </c>
      <c r="K80" s="454">
        <f t="shared" si="70"/>
        <v>145091</v>
      </c>
      <c r="L80" s="454">
        <f t="shared" si="70"/>
        <v>3511530</v>
      </c>
      <c r="M80" s="455">
        <f>M82+M81</f>
        <v>6074314</v>
      </c>
      <c r="N80" s="453">
        <f>P80+J80+K80</f>
        <v>157229</v>
      </c>
      <c r="O80" s="456">
        <f t="shared" si="65"/>
        <v>1.6157645693861897</v>
      </c>
      <c r="P80" s="457">
        <f>P82+P81</f>
        <v>12138</v>
      </c>
      <c r="Q80" s="456">
        <f t="shared" si="66"/>
        <v>0.34566129294068398</v>
      </c>
      <c r="R80" s="454">
        <f t="shared" si="61"/>
        <v>-865744.5</v>
      </c>
      <c r="S80" s="3187"/>
      <c r="T80" s="300"/>
      <c r="U80" s="352"/>
      <c r="V80" s="352"/>
      <c r="W80" s="352"/>
      <c r="X80" s="352"/>
      <c r="Y80" s="352"/>
      <c r="Z80" s="352"/>
      <c r="AA80" s="352"/>
      <c r="AB80" s="352"/>
      <c r="AC80" s="352"/>
      <c r="AD80" s="352"/>
      <c r="AE80" s="352"/>
      <c r="AF80" s="352"/>
      <c r="AG80" s="352"/>
      <c r="AH80" s="352"/>
      <c r="AI80" s="35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  <c r="BC80" s="352"/>
      <c r="BD80" s="352"/>
      <c r="BE80" s="352"/>
      <c r="BF80" s="352"/>
      <c r="BG80" s="352"/>
      <c r="BH80" s="352"/>
      <c r="BI80" s="352"/>
      <c r="BJ80" s="352"/>
      <c r="BK80" s="352"/>
      <c r="BL80" s="352"/>
      <c r="BM80" s="352"/>
      <c r="BN80" s="352"/>
      <c r="BO80" s="352"/>
      <c r="BP80" s="352"/>
      <c r="BQ80" s="352"/>
      <c r="BR80" s="352"/>
      <c r="BS80" s="352"/>
      <c r="BT80" s="352"/>
      <c r="BU80" s="352"/>
      <c r="BV80" s="352"/>
      <c r="BW80" s="352"/>
      <c r="BX80" s="352"/>
      <c r="BY80" s="352"/>
      <c r="BZ80" s="352"/>
      <c r="CA80" s="352"/>
      <c r="CB80" s="352"/>
    </row>
    <row r="81" spans="1:80" s="239" customFormat="1" ht="14.25" customHeight="1" x14ac:dyDescent="0.2">
      <c r="A81" s="3179"/>
      <c r="B81" s="440" t="s">
        <v>7</v>
      </c>
      <c r="C81" s="3031"/>
      <c r="D81" s="449">
        <f>+E81+F81+G81+H81</f>
        <v>0</v>
      </c>
      <c r="E81" s="450"/>
      <c r="F81" s="450"/>
      <c r="G81" s="450">
        <v>0</v>
      </c>
      <c r="H81" s="451">
        <v>0</v>
      </c>
      <c r="I81" s="400">
        <f>+J81+K81+L81+M81</f>
        <v>0</v>
      </c>
      <c r="J81" s="412"/>
      <c r="K81" s="412">
        <v>0</v>
      </c>
      <c r="L81" s="412"/>
      <c r="M81" s="413"/>
      <c r="N81" s="400">
        <f t="shared" si="68"/>
        <v>12138</v>
      </c>
      <c r="O81" s="458">
        <v>0</v>
      </c>
      <c r="P81" s="369">
        <v>12138</v>
      </c>
      <c r="Q81" s="458">
        <v>0</v>
      </c>
      <c r="R81" s="412">
        <f t="shared" si="61"/>
        <v>12138</v>
      </c>
      <c r="S81" s="3187"/>
      <c r="T81" s="300"/>
      <c r="U81" s="352"/>
      <c r="V81" s="352"/>
      <c r="W81" s="352"/>
      <c r="X81" s="352"/>
      <c r="Y81" s="352"/>
      <c r="Z81" s="352"/>
      <c r="AA81" s="352"/>
      <c r="AB81" s="352"/>
      <c r="AC81" s="352"/>
      <c r="AD81" s="352"/>
      <c r="AE81" s="352"/>
      <c r="AF81" s="352"/>
      <c r="AG81" s="352"/>
      <c r="AH81" s="352"/>
      <c r="AI81" s="35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  <c r="BC81" s="352"/>
      <c r="BD81" s="352"/>
      <c r="BE81" s="352"/>
      <c r="BF81" s="352"/>
      <c r="BG81" s="352"/>
      <c r="BH81" s="352"/>
      <c r="BI81" s="352"/>
      <c r="BJ81" s="352"/>
      <c r="BK81" s="352"/>
      <c r="BL81" s="352"/>
      <c r="BM81" s="352"/>
      <c r="BN81" s="352"/>
      <c r="BO81" s="352"/>
      <c r="BP81" s="352"/>
      <c r="BQ81" s="352"/>
      <c r="BR81" s="352"/>
      <c r="BS81" s="352"/>
      <c r="BT81" s="352"/>
      <c r="BU81" s="352"/>
      <c r="BV81" s="352"/>
      <c r="BW81" s="352"/>
      <c r="BX81" s="352"/>
      <c r="BY81" s="352"/>
      <c r="BZ81" s="352"/>
      <c r="CA81" s="352"/>
      <c r="CB81" s="352"/>
    </row>
    <row r="82" spans="1:80" s="239" customFormat="1" ht="13.5" customHeight="1" x14ac:dyDescent="0.2">
      <c r="A82" s="3179"/>
      <c r="B82" s="440" t="s">
        <v>6</v>
      </c>
      <c r="C82" s="3189"/>
      <c r="D82" s="400">
        <f>+E82+F82+G82+H82</f>
        <v>9730935</v>
      </c>
      <c r="E82" s="412">
        <v>0</v>
      </c>
      <c r="F82" s="412">
        <v>145091</v>
      </c>
      <c r="G82" s="412">
        <v>3511530</v>
      </c>
      <c r="H82" s="413">
        <v>6074314</v>
      </c>
      <c r="I82" s="400">
        <f>+J82+K82+L82+M82</f>
        <v>9730935</v>
      </c>
      <c r="J82" s="412">
        <v>0</v>
      </c>
      <c r="K82" s="412">
        <v>145091</v>
      </c>
      <c r="L82" s="412">
        <v>3511530</v>
      </c>
      <c r="M82" s="413">
        <v>6074314</v>
      </c>
      <c r="N82" s="400">
        <f t="shared" si="68"/>
        <v>145091</v>
      </c>
      <c r="O82" s="401">
        <f t="shared" si="65"/>
        <v>1.4910283544181522</v>
      </c>
      <c r="P82" s="369">
        <v>0</v>
      </c>
      <c r="Q82" s="401">
        <f t="shared" si="66"/>
        <v>0</v>
      </c>
      <c r="R82" s="412">
        <f t="shared" si="61"/>
        <v>-877882.5</v>
      </c>
      <c r="S82" s="3187"/>
      <c r="T82" s="300"/>
      <c r="U82" s="352"/>
      <c r="V82" s="352"/>
      <c r="W82" s="352"/>
      <c r="X82" s="352"/>
      <c r="Y82" s="352"/>
      <c r="Z82" s="352"/>
      <c r="AA82" s="352"/>
      <c r="AB82" s="352"/>
      <c r="AC82" s="352"/>
      <c r="AD82" s="352"/>
      <c r="AE82" s="352"/>
      <c r="AF82" s="352"/>
      <c r="AG82" s="352"/>
      <c r="AH82" s="352"/>
      <c r="AI82" s="352"/>
      <c r="AJ82" s="352"/>
      <c r="AK82" s="352"/>
      <c r="AL82" s="352"/>
      <c r="AM82" s="352"/>
      <c r="AN82" s="352"/>
      <c r="AO82" s="352"/>
      <c r="AP82" s="352"/>
      <c r="AQ82" s="352"/>
      <c r="AR82" s="352"/>
      <c r="AS82" s="352"/>
      <c r="AT82" s="352"/>
      <c r="AU82" s="352"/>
      <c r="AV82" s="352"/>
      <c r="AW82" s="352"/>
      <c r="AX82" s="352"/>
      <c r="AY82" s="352"/>
      <c r="AZ82" s="352"/>
      <c r="BA82" s="352"/>
      <c r="BB82" s="352"/>
      <c r="BC82" s="352"/>
      <c r="BD82" s="352"/>
      <c r="BE82" s="352"/>
      <c r="BF82" s="352"/>
      <c r="BG82" s="352"/>
      <c r="BH82" s="352"/>
      <c r="BI82" s="352"/>
      <c r="BJ82" s="352"/>
      <c r="BK82" s="352"/>
      <c r="BL82" s="352"/>
      <c r="BM82" s="352"/>
      <c r="BN82" s="352"/>
      <c r="BO82" s="352"/>
      <c r="BP82" s="352"/>
      <c r="BQ82" s="352"/>
      <c r="BR82" s="352"/>
      <c r="BS82" s="352"/>
      <c r="BT82" s="352"/>
      <c r="BU82" s="352"/>
      <c r="BV82" s="352"/>
      <c r="BW82" s="352"/>
      <c r="BX82" s="352"/>
      <c r="BY82" s="352"/>
      <c r="BZ82" s="352"/>
      <c r="CA82" s="352"/>
      <c r="CB82" s="352"/>
    </row>
    <row r="83" spans="1:80" s="239" customFormat="1" ht="13.5" customHeight="1" x14ac:dyDescent="0.2">
      <c r="A83" s="3179"/>
      <c r="B83" s="370" t="s">
        <v>13</v>
      </c>
      <c r="C83" s="3189"/>
      <c r="D83" s="453">
        <f>+D84</f>
        <v>15204585</v>
      </c>
      <c r="E83" s="454">
        <f t="shared" ref="E83:M83" si="71">+E84</f>
        <v>0</v>
      </c>
      <c r="F83" s="454">
        <f t="shared" si="71"/>
        <v>0</v>
      </c>
      <c r="G83" s="454">
        <f>+G84</f>
        <v>5713470</v>
      </c>
      <c r="H83" s="455">
        <f t="shared" si="71"/>
        <v>9491115</v>
      </c>
      <c r="I83" s="453">
        <f>+I84</f>
        <v>15204585</v>
      </c>
      <c r="J83" s="454">
        <f t="shared" si="71"/>
        <v>0</v>
      </c>
      <c r="K83" s="454">
        <f t="shared" si="71"/>
        <v>0</v>
      </c>
      <c r="L83" s="454">
        <f>+L84</f>
        <v>5713470</v>
      </c>
      <c r="M83" s="455">
        <f t="shared" si="71"/>
        <v>9491115</v>
      </c>
      <c r="N83" s="453">
        <f t="shared" si="68"/>
        <v>0</v>
      </c>
      <c r="O83" s="456">
        <f t="shared" si="65"/>
        <v>0</v>
      </c>
      <c r="P83" s="457">
        <f>+P84</f>
        <v>0</v>
      </c>
      <c r="Q83" s="456">
        <f t="shared" si="66"/>
        <v>0</v>
      </c>
      <c r="R83" s="454">
        <f t="shared" si="61"/>
        <v>-1428367.5</v>
      </c>
      <c r="S83" s="3187"/>
      <c r="T83" s="300"/>
      <c r="U83" s="352"/>
      <c r="V83" s="352"/>
      <c r="W83" s="352"/>
      <c r="X83" s="352"/>
      <c r="Y83" s="352"/>
      <c r="Z83" s="352"/>
      <c r="AA83" s="352"/>
      <c r="AB83" s="352"/>
      <c r="AC83" s="352"/>
      <c r="AD83" s="352"/>
      <c r="AE83" s="352"/>
      <c r="AF83" s="352"/>
      <c r="AG83" s="352"/>
      <c r="AH83" s="352"/>
      <c r="AI83" s="352"/>
      <c r="AJ83" s="352"/>
      <c r="AK83" s="352"/>
      <c r="AL83" s="352"/>
      <c r="AM83" s="352"/>
      <c r="AN83" s="352"/>
      <c r="AO83" s="352"/>
      <c r="AP83" s="352"/>
      <c r="AQ83" s="352"/>
      <c r="AR83" s="352"/>
      <c r="AS83" s="352"/>
      <c r="AT83" s="352"/>
      <c r="AU83" s="352"/>
      <c r="AV83" s="352"/>
      <c r="AW83" s="352"/>
      <c r="AX83" s="352"/>
      <c r="AY83" s="352"/>
      <c r="AZ83" s="352"/>
      <c r="BA83" s="352"/>
      <c r="BB83" s="352"/>
      <c r="BC83" s="352"/>
      <c r="BD83" s="352"/>
      <c r="BE83" s="352"/>
      <c r="BF83" s="352"/>
      <c r="BG83" s="352"/>
      <c r="BH83" s="352"/>
      <c r="BI83" s="352"/>
      <c r="BJ83" s="352"/>
      <c r="BK83" s="352"/>
      <c r="BL83" s="352"/>
      <c r="BM83" s="352"/>
      <c r="BN83" s="352"/>
      <c r="BO83" s="352"/>
      <c r="BP83" s="352"/>
      <c r="BQ83" s="352"/>
      <c r="BR83" s="352"/>
      <c r="BS83" s="352"/>
      <c r="BT83" s="352"/>
      <c r="BU83" s="352"/>
      <c r="BV83" s="352"/>
      <c r="BW83" s="352"/>
      <c r="BX83" s="352"/>
      <c r="BY83" s="352"/>
      <c r="BZ83" s="352"/>
      <c r="CA83" s="352"/>
      <c r="CB83" s="352"/>
    </row>
    <row r="84" spans="1:80" s="239" customFormat="1" ht="13.5" customHeight="1" x14ac:dyDescent="0.2">
      <c r="A84" s="3179"/>
      <c r="B84" s="459" t="s">
        <v>16</v>
      </c>
      <c r="C84" s="3189"/>
      <c r="D84" s="400">
        <f>+E84+F84+G84+H84</f>
        <v>15204585</v>
      </c>
      <c r="E84" s="412">
        <v>0</v>
      </c>
      <c r="F84" s="412">
        <v>0</v>
      </c>
      <c r="G84" s="412">
        <v>5713470</v>
      </c>
      <c r="H84" s="413">
        <v>9491115</v>
      </c>
      <c r="I84" s="400">
        <f>+J84+K84+L84+M84</f>
        <v>15204585</v>
      </c>
      <c r="J84" s="412">
        <v>0</v>
      </c>
      <c r="K84" s="412">
        <v>0</v>
      </c>
      <c r="L84" s="412">
        <v>5713470</v>
      </c>
      <c r="M84" s="413">
        <v>9491115</v>
      </c>
      <c r="N84" s="400">
        <f t="shared" si="68"/>
        <v>0</v>
      </c>
      <c r="O84" s="401">
        <f t="shared" si="65"/>
        <v>0</v>
      </c>
      <c r="P84" s="369">
        <v>0</v>
      </c>
      <c r="Q84" s="401">
        <f t="shared" si="66"/>
        <v>0</v>
      </c>
      <c r="R84" s="412">
        <f t="shared" si="61"/>
        <v>-1428367.5</v>
      </c>
      <c r="S84" s="3187"/>
      <c r="T84" s="300"/>
      <c r="U84" s="352"/>
      <c r="V84" s="352"/>
      <c r="W84" s="352"/>
      <c r="X84" s="352"/>
      <c r="Y84" s="352"/>
      <c r="Z84" s="352"/>
      <c r="AA84" s="352"/>
      <c r="AB84" s="352"/>
      <c r="AC84" s="352"/>
      <c r="AD84" s="352"/>
      <c r="AE84" s="352"/>
      <c r="AF84" s="352"/>
      <c r="AG84" s="352"/>
      <c r="AH84" s="352"/>
      <c r="AI84" s="352"/>
      <c r="AJ84" s="352"/>
      <c r="AK84" s="352"/>
      <c r="AL84" s="352"/>
      <c r="AM84" s="352"/>
      <c r="AN84" s="352"/>
      <c r="AO84" s="352"/>
      <c r="AP84" s="352"/>
      <c r="AQ84" s="352"/>
      <c r="AR84" s="352"/>
      <c r="AS84" s="352"/>
      <c r="AT84" s="352"/>
      <c r="AU84" s="352"/>
      <c r="AV84" s="352"/>
      <c r="AW84" s="352"/>
      <c r="AX84" s="352"/>
      <c r="AY84" s="352"/>
      <c r="AZ84" s="352"/>
      <c r="BA84" s="352"/>
      <c r="BB84" s="352"/>
      <c r="BC84" s="352"/>
      <c r="BD84" s="352"/>
      <c r="BE84" s="352"/>
      <c r="BF84" s="352"/>
      <c r="BG84" s="352"/>
      <c r="BH84" s="352"/>
      <c r="BI84" s="352"/>
      <c r="BJ84" s="352"/>
      <c r="BK84" s="352"/>
      <c r="BL84" s="352"/>
      <c r="BM84" s="352"/>
      <c r="BN84" s="352"/>
      <c r="BO84" s="352"/>
      <c r="BP84" s="352"/>
      <c r="BQ84" s="352"/>
      <c r="BR84" s="352"/>
      <c r="BS84" s="352"/>
      <c r="BT84" s="352"/>
      <c r="BU84" s="352"/>
      <c r="BV84" s="352"/>
      <c r="BW84" s="352"/>
      <c r="BX84" s="352"/>
      <c r="BY84" s="352"/>
      <c r="BZ84" s="352"/>
      <c r="CA84" s="352"/>
      <c r="CB84" s="352"/>
    </row>
    <row r="85" spans="1:80" s="239" customFormat="1" ht="13.5" customHeight="1" x14ac:dyDescent="0.2">
      <c r="A85" s="3179"/>
      <c r="B85" s="322" t="s">
        <v>17</v>
      </c>
      <c r="C85" s="378"/>
      <c r="D85" s="326">
        <f>D88+D86</f>
        <v>19634187</v>
      </c>
      <c r="E85" s="324">
        <f>E88</f>
        <v>0</v>
      </c>
      <c r="F85" s="324">
        <f>F88</f>
        <v>0</v>
      </c>
      <c r="G85" s="324">
        <f>G88+G86</f>
        <v>7371550</v>
      </c>
      <c r="H85" s="325">
        <f>H88+H86</f>
        <v>12256193</v>
      </c>
      <c r="I85" s="326">
        <f>I88+I86</f>
        <v>19634187</v>
      </c>
      <c r="J85" s="324">
        <f>J88</f>
        <v>0</v>
      </c>
      <c r="K85" s="324">
        <f>+K86+K88</f>
        <v>6444</v>
      </c>
      <c r="L85" s="324">
        <f>L88+L86</f>
        <v>7371550</v>
      </c>
      <c r="M85" s="325">
        <f>M88+M86</f>
        <v>12256193</v>
      </c>
      <c r="N85" s="326">
        <f>P85+J85+K85</f>
        <v>25775</v>
      </c>
      <c r="O85" s="328">
        <f t="shared" si="65"/>
        <v>0.13127612566794847</v>
      </c>
      <c r="P85" s="329">
        <f>P88+P86</f>
        <v>19331</v>
      </c>
      <c r="Q85" s="328">
        <f t="shared" si="66"/>
        <v>0.26223792825118192</v>
      </c>
      <c r="R85" s="324">
        <f t="shared" si="61"/>
        <v>-1823556.5</v>
      </c>
      <c r="S85" s="3187"/>
      <c r="T85" s="300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2"/>
      <c r="AN85" s="352"/>
      <c r="AO85" s="352"/>
      <c r="AP85" s="352"/>
      <c r="AQ85" s="352"/>
      <c r="AR85" s="352"/>
      <c r="AS85" s="352"/>
      <c r="AT85" s="352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2"/>
      <c r="BN85" s="352"/>
      <c r="BO85" s="352"/>
      <c r="BP85" s="352"/>
      <c r="BQ85" s="352"/>
      <c r="BR85" s="352"/>
      <c r="BS85" s="352"/>
      <c r="BT85" s="352"/>
      <c r="BU85" s="352"/>
      <c r="BV85" s="352"/>
      <c r="BW85" s="352"/>
      <c r="BX85" s="352"/>
      <c r="BY85" s="352"/>
      <c r="BZ85" s="352"/>
      <c r="CA85" s="352"/>
      <c r="CB85" s="352"/>
    </row>
    <row r="86" spans="1:80" s="239" customFormat="1" ht="13.5" customHeight="1" x14ac:dyDescent="0.2">
      <c r="A86" s="3179"/>
      <c r="B86" s="356" t="s">
        <v>18</v>
      </c>
      <c r="C86" s="406"/>
      <c r="D86" s="407">
        <f t="shared" ref="D86:M86" si="72">+D87</f>
        <v>4429602</v>
      </c>
      <c r="E86" s="408">
        <f t="shared" si="72"/>
        <v>0</v>
      </c>
      <c r="F86" s="408">
        <f t="shared" si="72"/>
        <v>6444</v>
      </c>
      <c r="G86" s="408">
        <f t="shared" si="72"/>
        <v>1658080</v>
      </c>
      <c r="H86" s="409">
        <f t="shared" si="72"/>
        <v>2765078</v>
      </c>
      <c r="I86" s="407">
        <f t="shared" si="72"/>
        <v>4429602</v>
      </c>
      <c r="J86" s="408">
        <f t="shared" si="72"/>
        <v>0</v>
      </c>
      <c r="K86" s="408">
        <f t="shared" si="72"/>
        <v>6444</v>
      </c>
      <c r="L86" s="408">
        <f t="shared" si="72"/>
        <v>1658080</v>
      </c>
      <c r="M86" s="409">
        <f t="shared" si="72"/>
        <v>2765078</v>
      </c>
      <c r="N86" s="407">
        <f t="shared" si="68"/>
        <v>25775</v>
      </c>
      <c r="O86" s="410">
        <f t="shared" si="65"/>
        <v>0.58188071975766675</v>
      </c>
      <c r="P86" s="411">
        <f>+P87</f>
        <v>19331</v>
      </c>
      <c r="Q86" s="410">
        <f t="shared" si="66"/>
        <v>1.1658665444369392</v>
      </c>
      <c r="R86" s="408">
        <f t="shared" si="61"/>
        <v>-395189</v>
      </c>
      <c r="S86" s="3187"/>
      <c r="T86" s="300"/>
      <c r="U86" s="352"/>
      <c r="V86" s="352"/>
      <c r="W86" s="352"/>
      <c r="X86" s="352"/>
      <c r="Y86" s="352"/>
      <c r="Z86" s="352"/>
      <c r="AA86" s="352"/>
      <c r="AB86" s="352"/>
      <c r="AC86" s="352"/>
      <c r="AD86" s="352"/>
      <c r="AE86" s="352"/>
      <c r="AF86" s="352"/>
      <c r="AG86" s="352"/>
      <c r="AH86" s="352"/>
      <c r="AI86" s="352"/>
      <c r="AJ86" s="352"/>
      <c r="AK86" s="352"/>
      <c r="AL86" s="352"/>
      <c r="AM86" s="352"/>
      <c r="AN86" s="352"/>
      <c r="AO86" s="352"/>
      <c r="AP86" s="352"/>
      <c r="AQ86" s="352"/>
      <c r="AR86" s="352"/>
      <c r="AS86" s="352"/>
      <c r="AT86" s="352"/>
      <c r="AU86" s="352"/>
      <c r="AV86" s="352"/>
      <c r="AW86" s="352"/>
      <c r="AX86" s="352"/>
      <c r="AY86" s="352"/>
      <c r="AZ86" s="352"/>
      <c r="BA86" s="352"/>
      <c r="BB86" s="352"/>
      <c r="BC86" s="352"/>
      <c r="BD86" s="352"/>
      <c r="BE86" s="352"/>
      <c r="BF86" s="352"/>
      <c r="BG86" s="352"/>
      <c r="BH86" s="352"/>
      <c r="BI86" s="352"/>
      <c r="BJ86" s="352"/>
      <c r="BK86" s="352"/>
      <c r="BL86" s="352"/>
      <c r="BM86" s="352"/>
      <c r="BN86" s="352"/>
      <c r="BO86" s="352"/>
      <c r="BP86" s="352"/>
      <c r="BQ86" s="352"/>
      <c r="BR86" s="352"/>
      <c r="BS86" s="352"/>
      <c r="BT86" s="352"/>
      <c r="BU86" s="352"/>
      <c r="BV86" s="352"/>
      <c r="BW86" s="352"/>
      <c r="BX86" s="352"/>
      <c r="BY86" s="352"/>
      <c r="BZ86" s="352"/>
      <c r="CA86" s="352"/>
      <c r="CB86" s="352"/>
    </row>
    <row r="87" spans="1:80" s="239" customFormat="1" ht="13.5" customHeight="1" x14ac:dyDescent="0.2">
      <c r="A87" s="3179"/>
      <c r="B87" s="440" t="s">
        <v>198</v>
      </c>
      <c r="C87" s="406"/>
      <c r="D87" s="400">
        <f>+E87+F87+G87+H87</f>
        <v>4429602</v>
      </c>
      <c r="E87" s="412">
        <v>0</v>
      </c>
      <c r="F87" s="412">
        <v>6444</v>
      </c>
      <c r="G87" s="412">
        <v>1658080</v>
      </c>
      <c r="H87" s="413">
        <v>2765078</v>
      </c>
      <c r="I87" s="400">
        <f>+J87+K87+L87+M87</f>
        <v>4429602</v>
      </c>
      <c r="J87" s="412">
        <v>0</v>
      </c>
      <c r="K87" s="412">
        <v>6444</v>
      </c>
      <c r="L87" s="412">
        <v>1658080</v>
      </c>
      <c r="M87" s="413">
        <v>2765078</v>
      </c>
      <c r="N87" s="407">
        <f t="shared" si="68"/>
        <v>25775</v>
      </c>
      <c r="O87" s="410">
        <f t="shared" si="65"/>
        <v>0.58188071975766675</v>
      </c>
      <c r="P87" s="369">
        <v>19331</v>
      </c>
      <c r="Q87" s="410">
        <f t="shared" si="66"/>
        <v>1.1658665444369392</v>
      </c>
      <c r="R87" s="412">
        <f t="shared" si="61"/>
        <v>-395189</v>
      </c>
      <c r="S87" s="3187"/>
      <c r="T87" s="300"/>
      <c r="U87" s="352"/>
      <c r="V87" s="352"/>
      <c r="W87" s="352"/>
      <c r="X87" s="352"/>
      <c r="Y87" s="352"/>
      <c r="Z87" s="352"/>
      <c r="AA87" s="352"/>
      <c r="AB87" s="352"/>
      <c r="AC87" s="352"/>
      <c r="AD87" s="352"/>
      <c r="AE87" s="352"/>
      <c r="AF87" s="352"/>
      <c r="AG87" s="352"/>
      <c r="AH87" s="352"/>
      <c r="AI87" s="352"/>
      <c r="AJ87" s="352"/>
      <c r="AK87" s="352"/>
      <c r="AL87" s="352"/>
      <c r="AM87" s="352"/>
      <c r="AN87" s="352"/>
      <c r="AO87" s="352"/>
      <c r="AP87" s="352"/>
      <c r="AQ87" s="352"/>
      <c r="AR87" s="352"/>
      <c r="AS87" s="352"/>
      <c r="AT87" s="352"/>
      <c r="AU87" s="352"/>
      <c r="AV87" s="352"/>
      <c r="AW87" s="352"/>
      <c r="AX87" s="352"/>
      <c r="AY87" s="352"/>
      <c r="AZ87" s="352"/>
      <c r="BA87" s="352"/>
      <c r="BB87" s="352"/>
      <c r="BC87" s="352"/>
      <c r="BD87" s="352"/>
      <c r="BE87" s="352"/>
      <c r="BF87" s="352"/>
      <c r="BG87" s="352"/>
      <c r="BH87" s="352"/>
      <c r="BI87" s="352"/>
      <c r="BJ87" s="352"/>
      <c r="BK87" s="352"/>
      <c r="BL87" s="352"/>
      <c r="BM87" s="352"/>
      <c r="BN87" s="352"/>
      <c r="BO87" s="352"/>
      <c r="BP87" s="352"/>
      <c r="BQ87" s="352"/>
      <c r="BR87" s="352"/>
      <c r="BS87" s="352"/>
      <c r="BT87" s="352"/>
      <c r="BU87" s="352"/>
      <c r="BV87" s="352"/>
      <c r="BW87" s="352"/>
      <c r="BX87" s="352"/>
      <c r="BY87" s="352"/>
      <c r="BZ87" s="352"/>
      <c r="CA87" s="352"/>
      <c r="CB87" s="352"/>
    </row>
    <row r="88" spans="1:80" s="239" customFormat="1" ht="13.5" customHeight="1" x14ac:dyDescent="0.2">
      <c r="A88" s="3179"/>
      <c r="B88" s="460" t="s">
        <v>13</v>
      </c>
      <c r="C88" s="3031" t="s">
        <v>162</v>
      </c>
      <c r="D88" s="453">
        <f>+D89</f>
        <v>15204585</v>
      </c>
      <c r="E88" s="454">
        <f t="shared" ref="E88:K88" si="73">+E89</f>
        <v>0</v>
      </c>
      <c r="F88" s="454">
        <f t="shared" si="73"/>
        <v>0</v>
      </c>
      <c r="G88" s="454">
        <f>+G89</f>
        <v>5713470</v>
      </c>
      <c r="H88" s="455">
        <f>+H89</f>
        <v>9491115</v>
      </c>
      <c r="I88" s="453">
        <f>+I89</f>
        <v>15204585</v>
      </c>
      <c r="J88" s="454">
        <f t="shared" si="73"/>
        <v>0</v>
      </c>
      <c r="K88" s="454">
        <f t="shared" si="73"/>
        <v>0</v>
      </c>
      <c r="L88" s="454">
        <f>+L89</f>
        <v>5713470</v>
      </c>
      <c r="M88" s="455">
        <f>+M89</f>
        <v>9491115</v>
      </c>
      <c r="N88" s="453">
        <f t="shared" si="68"/>
        <v>0</v>
      </c>
      <c r="O88" s="456">
        <f t="shared" si="65"/>
        <v>0</v>
      </c>
      <c r="P88" s="457">
        <f>+P89</f>
        <v>0</v>
      </c>
      <c r="Q88" s="456">
        <f t="shared" si="66"/>
        <v>0</v>
      </c>
      <c r="R88" s="454">
        <f t="shared" si="61"/>
        <v>-1428367.5</v>
      </c>
      <c r="S88" s="3187"/>
      <c r="T88" s="300"/>
      <c r="U88" s="352"/>
      <c r="V88" s="352"/>
      <c r="W88" s="352"/>
      <c r="X88" s="352"/>
      <c r="Y88" s="352"/>
      <c r="Z88" s="352"/>
      <c r="AA88" s="352"/>
      <c r="AB88" s="352"/>
      <c r="AC88" s="352"/>
      <c r="AD88" s="352"/>
      <c r="AE88" s="352"/>
      <c r="AF88" s="352"/>
      <c r="AG88" s="352"/>
      <c r="AH88" s="352"/>
      <c r="AI88" s="352"/>
      <c r="AJ88" s="352"/>
      <c r="AK88" s="352"/>
      <c r="AL88" s="352"/>
      <c r="AM88" s="352"/>
      <c r="AN88" s="352"/>
      <c r="AO88" s="352"/>
      <c r="AP88" s="352"/>
      <c r="AQ88" s="352"/>
      <c r="AR88" s="352"/>
      <c r="AS88" s="352"/>
      <c r="AT88" s="352"/>
      <c r="AU88" s="352"/>
      <c r="AV88" s="352"/>
      <c r="AW88" s="352"/>
      <c r="AX88" s="352"/>
      <c r="AY88" s="352"/>
      <c r="AZ88" s="352"/>
      <c r="BA88" s="352"/>
      <c r="BB88" s="352"/>
      <c r="BC88" s="352"/>
      <c r="BD88" s="352"/>
      <c r="BE88" s="352"/>
      <c r="BF88" s="352"/>
      <c r="BG88" s="352"/>
      <c r="BH88" s="352"/>
      <c r="BI88" s="352"/>
      <c r="BJ88" s="352"/>
      <c r="BK88" s="352"/>
      <c r="BL88" s="352"/>
      <c r="BM88" s="352"/>
      <c r="BN88" s="352"/>
      <c r="BO88" s="352"/>
      <c r="BP88" s="352"/>
      <c r="BQ88" s="352"/>
      <c r="BR88" s="352"/>
      <c r="BS88" s="352"/>
      <c r="BT88" s="352"/>
      <c r="BU88" s="352"/>
      <c r="BV88" s="352"/>
      <c r="BW88" s="352"/>
      <c r="BX88" s="352"/>
      <c r="BY88" s="352"/>
      <c r="BZ88" s="352"/>
      <c r="CA88" s="352"/>
      <c r="CB88" s="352"/>
    </row>
    <row r="89" spans="1:80" s="239" customFormat="1" ht="13.5" customHeight="1" thickBot="1" x14ac:dyDescent="0.25">
      <c r="A89" s="3180"/>
      <c r="B89" s="461" t="s">
        <v>16</v>
      </c>
      <c r="C89" s="3190"/>
      <c r="D89" s="462">
        <f>+E89+F89+G89+H89</f>
        <v>15204585</v>
      </c>
      <c r="E89" s="463">
        <v>0</v>
      </c>
      <c r="F89" s="463">
        <v>0</v>
      </c>
      <c r="G89" s="463">
        <v>5713470</v>
      </c>
      <c r="H89" s="464">
        <v>9491115</v>
      </c>
      <c r="I89" s="462">
        <f>+J89+K89+L89+M89</f>
        <v>15204585</v>
      </c>
      <c r="J89" s="463">
        <v>0</v>
      </c>
      <c r="K89" s="463">
        <v>0</v>
      </c>
      <c r="L89" s="463">
        <v>5713470</v>
      </c>
      <c r="M89" s="464">
        <v>9491115</v>
      </c>
      <c r="N89" s="462">
        <f t="shared" si="68"/>
        <v>0</v>
      </c>
      <c r="O89" s="465">
        <f t="shared" si="65"/>
        <v>0</v>
      </c>
      <c r="P89" s="466">
        <v>0</v>
      </c>
      <c r="Q89" s="465">
        <f>P89/G89*100</f>
        <v>0</v>
      </c>
      <c r="R89" s="463">
        <f t="shared" si="61"/>
        <v>-1428367.5</v>
      </c>
      <c r="S89" s="3188"/>
      <c r="T89" s="300"/>
      <c r="U89" s="352"/>
      <c r="V89" s="352"/>
      <c r="W89" s="352"/>
      <c r="X89" s="352"/>
      <c r="Y89" s="352"/>
      <c r="Z89" s="352"/>
      <c r="AA89" s="352"/>
      <c r="AB89" s="352"/>
      <c r="AC89" s="352"/>
      <c r="AD89" s="352"/>
      <c r="AE89" s="352"/>
      <c r="AF89" s="352"/>
      <c r="AG89" s="352"/>
      <c r="AH89" s="352"/>
      <c r="AI89" s="352"/>
      <c r="AJ89" s="352"/>
      <c r="AK89" s="352"/>
      <c r="AL89" s="352"/>
      <c r="AM89" s="352"/>
      <c r="AN89" s="352"/>
      <c r="AO89" s="352"/>
      <c r="AP89" s="352"/>
      <c r="AQ89" s="352"/>
      <c r="AR89" s="352"/>
      <c r="AS89" s="352"/>
      <c r="AT89" s="352"/>
      <c r="AU89" s="352"/>
      <c r="AV89" s="352"/>
      <c r="AW89" s="352"/>
      <c r="AX89" s="352"/>
      <c r="AY89" s="352"/>
      <c r="AZ89" s="352"/>
      <c r="BA89" s="352"/>
      <c r="BB89" s="352"/>
      <c r="BC89" s="352"/>
      <c r="BD89" s="352"/>
      <c r="BE89" s="352"/>
      <c r="BF89" s="352"/>
      <c r="BG89" s="352"/>
      <c r="BH89" s="352"/>
      <c r="BI89" s="352"/>
      <c r="BJ89" s="352"/>
      <c r="BK89" s="352"/>
      <c r="BL89" s="352"/>
      <c r="BM89" s="352"/>
      <c r="BN89" s="352"/>
      <c r="BO89" s="352"/>
      <c r="BP89" s="352"/>
      <c r="BQ89" s="352"/>
      <c r="BR89" s="352"/>
      <c r="BS89" s="352"/>
      <c r="BT89" s="352"/>
      <c r="BU89" s="352"/>
      <c r="BV89" s="352"/>
      <c r="BW89" s="352"/>
      <c r="BX89" s="352"/>
      <c r="BY89" s="352"/>
      <c r="BZ89" s="352"/>
      <c r="CA89" s="352"/>
      <c r="CB89" s="352"/>
    </row>
    <row r="90" spans="1:80" s="239" customFormat="1" ht="13.5" customHeight="1" x14ac:dyDescent="0.2">
      <c r="A90" s="467"/>
      <c r="B90" s="468"/>
      <c r="C90" s="469"/>
      <c r="D90" s="470"/>
      <c r="E90" s="470"/>
      <c r="F90" s="470"/>
      <c r="G90" s="470"/>
      <c r="H90" s="470"/>
      <c r="I90" s="470"/>
      <c r="J90" s="470"/>
      <c r="K90" s="470"/>
      <c r="L90" s="470"/>
      <c r="M90" s="470"/>
      <c r="N90" s="470"/>
      <c r="O90" s="471"/>
      <c r="P90" s="470"/>
      <c r="Q90" s="471"/>
      <c r="R90" s="470"/>
      <c r="S90" s="472"/>
      <c r="T90" s="352"/>
      <c r="U90" s="352"/>
      <c r="V90" s="352"/>
      <c r="W90" s="352"/>
      <c r="X90" s="352"/>
      <c r="Y90" s="352"/>
      <c r="Z90" s="352"/>
      <c r="AA90" s="352"/>
      <c r="AB90" s="352"/>
      <c r="AC90" s="352"/>
      <c r="AD90" s="352"/>
      <c r="AE90" s="352"/>
      <c r="AF90" s="352"/>
      <c r="AG90" s="352"/>
      <c r="AH90" s="352"/>
      <c r="AI90" s="352"/>
      <c r="AJ90" s="352"/>
      <c r="AK90" s="352"/>
      <c r="AL90" s="352"/>
      <c r="AM90" s="352"/>
      <c r="AN90" s="352"/>
      <c r="AO90" s="352"/>
      <c r="AP90" s="352"/>
      <c r="AQ90" s="352"/>
      <c r="AR90" s="352"/>
      <c r="AS90" s="352"/>
      <c r="AT90" s="352"/>
      <c r="AU90" s="352"/>
      <c r="AV90" s="352"/>
      <c r="AW90" s="352"/>
      <c r="AX90" s="352"/>
      <c r="AY90" s="352"/>
      <c r="AZ90" s="352"/>
      <c r="BA90" s="352"/>
      <c r="BB90" s="352"/>
      <c r="BC90" s="352"/>
      <c r="BD90" s="352"/>
      <c r="BE90" s="352"/>
      <c r="BF90" s="352"/>
      <c r="BG90" s="352"/>
      <c r="BH90" s="352"/>
      <c r="BI90" s="352"/>
      <c r="BJ90" s="352"/>
      <c r="BK90" s="352"/>
      <c r="BL90" s="352"/>
      <c r="BM90" s="352"/>
      <c r="BN90" s="352"/>
      <c r="BO90" s="352"/>
      <c r="BP90" s="352"/>
      <c r="BQ90" s="352"/>
      <c r="BR90" s="352"/>
      <c r="BS90" s="352"/>
      <c r="BT90" s="352"/>
      <c r="BU90" s="352"/>
      <c r="BV90" s="352"/>
      <c r="BW90" s="352"/>
      <c r="BX90" s="352"/>
      <c r="BY90" s="352"/>
      <c r="BZ90" s="352"/>
      <c r="CA90" s="352"/>
      <c r="CB90" s="352"/>
    </row>
    <row r="91" spans="1:80" s="239" customFormat="1" ht="13.5" customHeight="1" x14ac:dyDescent="0.2">
      <c r="A91" s="467"/>
      <c r="B91" s="468"/>
      <c r="C91" s="469"/>
      <c r="D91" s="470"/>
      <c r="E91" s="470"/>
      <c r="F91" s="470"/>
      <c r="G91" s="470"/>
      <c r="H91" s="470"/>
      <c r="I91" s="470"/>
      <c r="J91" s="470"/>
      <c r="K91" s="470"/>
      <c r="L91" s="470"/>
      <c r="M91" s="470"/>
      <c r="N91" s="470"/>
      <c r="O91" s="471"/>
      <c r="P91" s="470"/>
      <c r="Q91" s="471"/>
      <c r="R91" s="470"/>
      <c r="S91" s="472"/>
      <c r="T91" s="352"/>
      <c r="U91" s="352"/>
      <c r="V91" s="352"/>
      <c r="W91" s="352"/>
      <c r="X91" s="352"/>
      <c r="Y91" s="352"/>
      <c r="Z91" s="352"/>
      <c r="AA91" s="352"/>
      <c r="AB91" s="352"/>
      <c r="AC91" s="352"/>
      <c r="AD91" s="352"/>
      <c r="AE91" s="352"/>
      <c r="AF91" s="352"/>
      <c r="AG91" s="352"/>
      <c r="AH91" s="352"/>
      <c r="AI91" s="352"/>
      <c r="AJ91" s="352"/>
      <c r="AK91" s="352"/>
      <c r="AL91" s="352"/>
      <c r="AM91" s="352"/>
      <c r="AN91" s="352"/>
      <c r="AO91" s="352"/>
      <c r="AP91" s="352"/>
      <c r="AQ91" s="352"/>
      <c r="AR91" s="352"/>
      <c r="AS91" s="352"/>
      <c r="AT91" s="352"/>
      <c r="AU91" s="352"/>
      <c r="AV91" s="352"/>
      <c r="AW91" s="352"/>
      <c r="AX91" s="352"/>
      <c r="AY91" s="352"/>
      <c r="AZ91" s="352"/>
      <c r="BA91" s="352"/>
      <c r="BB91" s="352"/>
      <c r="BC91" s="352"/>
      <c r="BD91" s="352"/>
      <c r="BE91" s="352"/>
      <c r="BF91" s="352"/>
      <c r="BG91" s="352"/>
      <c r="BH91" s="352"/>
      <c r="BI91" s="352"/>
      <c r="BJ91" s="352"/>
      <c r="BK91" s="352"/>
      <c r="BL91" s="352"/>
      <c r="BM91" s="352"/>
      <c r="BN91" s="352"/>
      <c r="BO91" s="352"/>
      <c r="BP91" s="352"/>
      <c r="BQ91" s="352"/>
      <c r="BR91" s="352"/>
      <c r="BS91" s="352"/>
      <c r="BT91" s="352"/>
      <c r="BU91" s="352"/>
      <c r="BV91" s="352"/>
      <c r="BW91" s="352"/>
      <c r="BX91" s="352"/>
      <c r="BY91" s="352"/>
      <c r="BZ91" s="352"/>
      <c r="CA91" s="352"/>
      <c r="CB91" s="352"/>
    </row>
    <row r="92" spans="1:80" s="239" customFormat="1" ht="13.5" customHeight="1" x14ac:dyDescent="0.2">
      <c r="A92" s="467"/>
      <c r="B92" s="468"/>
      <c r="C92" s="469"/>
      <c r="D92" s="470"/>
      <c r="E92" s="470"/>
      <c r="F92" s="470"/>
      <c r="G92" s="470"/>
      <c r="H92" s="470"/>
      <c r="I92" s="470"/>
      <c r="J92" s="470"/>
      <c r="K92" s="470"/>
      <c r="L92" s="470"/>
      <c r="M92" s="470"/>
      <c r="N92" s="470"/>
      <c r="O92" s="471"/>
      <c r="P92" s="470"/>
      <c r="Q92" s="471"/>
      <c r="R92" s="470"/>
      <c r="S92" s="472"/>
      <c r="T92" s="352"/>
      <c r="U92" s="352"/>
      <c r="V92" s="352"/>
      <c r="W92" s="352"/>
      <c r="X92" s="352"/>
      <c r="Y92" s="352"/>
      <c r="Z92" s="352"/>
      <c r="AA92" s="352"/>
      <c r="AB92" s="352"/>
      <c r="AC92" s="352"/>
      <c r="AD92" s="352"/>
      <c r="AE92" s="352"/>
      <c r="AF92" s="352"/>
      <c r="AG92" s="352"/>
      <c r="AH92" s="352"/>
      <c r="AI92" s="352"/>
      <c r="AJ92" s="352"/>
      <c r="AK92" s="352"/>
      <c r="AL92" s="352"/>
      <c r="AM92" s="352"/>
      <c r="AN92" s="352"/>
      <c r="AO92" s="352"/>
      <c r="AP92" s="352"/>
      <c r="AQ92" s="352"/>
      <c r="AR92" s="352"/>
      <c r="AS92" s="352"/>
      <c r="AT92" s="352"/>
      <c r="AU92" s="352"/>
      <c r="AV92" s="352"/>
      <c r="AW92" s="352"/>
      <c r="AX92" s="352"/>
      <c r="AY92" s="352"/>
      <c r="AZ92" s="352"/>
      <c r="BA92" s="352"/>
      <c r="BB92" s="352"/>
      <c r="BC92" s="352"/>
      <c r="BD92" s="352"/>
      <c r="BE92" s="352"/>
      <c r="BF92" s="352"/>
      <c r="BG92" s="352"/>
      <c r="BH92" s="352"/>
      <c r="BI92" s="352"/>
      <c r="BJ92" s="352"/>
      <c r="BK92" s="352"/>
      <c r="BL92" s="352"/>
      <c r="BM92" s="352"/>
      <c r="BN92" s="352"/>
      <c r="BO92" s="352"/>
      <c r="BP92" s="352"/>
      <c r="BQ92" s="352"/>
      <c r="BR92" s="352"/>
      <c r="BS92" s="352"/>
      <c r="BT92" s="352"/>
      <c r="BU92" s="352"/>
      <c r="BV92" s="352"/>
      <c r="BW92" s="352"/>
      <c r="BX92" s="352"/>
      <c r="BY92" s="352"/>
      <c r="BZ92" s="352"/>
      <c r="CA92" s="352"/>
      <c r="CB92" s="352"/>
    </row>
    <row r="93" spans="1:80" x14ac:dyDescent="0.2">
      <c r="A93" s="473" t="s">
        <v>387</v>
      </c>
      <c r="E93" s="470"/>
      <c r="N93" s="271"/>
      <c r="O93" s="271"/>
      <c r="P93" s="271"/>
      <c r="Q93" s="271"/>
      <c r="R93" s="271"/>
      <c r="S93" s="474"/>
      <c r="T93" s="352"/>
      <c r="U93" s="352"/>
      <c r="V93" s="352"/>
      <c r="W93" s="352"/>
      <c r="X93" s="352"/>
      <c r="Y93" s="352"/>
      <c r="Z93" s="352"/>
      <c r="AA93" s="352"/>
      <c r="AB93" s="352"/>
      <c r="AC93" s="352"/>
      <c r="AD93" s="352"/>
      <c r="AE93" s="352"/>
      <c r="AF93" s="352"/>
      <c r="AG93" s="352"/>
      <c r="AH93" s="352"/>
      <c r="AI93" s="352"/>
      <c r="AJ93" s="352"/>
      <c r="AK93" s="352"/>
      <c r="AL93" s="352"/>
      <c r="AM93" s="352"/>
      <c r="AN93" s="352"/>
      <c r="AO93" s="352"/>
      <c r="AP93" s="352"/>
      <c r="AQ93" s="352"/>
      <c r="AR93" s="352"/>
      <c r="AS93" s="352"/>
      <c r="AT93" s="352"/>
      <c r="AU93" s="352"/>
      <c r="AV93" s="352"/>
      <c r="AW93" s="352"/>
      <c r="AX93" s="352"/>
      <c r="AY93" s="352"/>
      <c r="AZ93" s="352"/>
      <c r="BA93" s="352"/>
      <c r="BB93" s="352"/>
      <c r="BC93" s="352"/>
      <c r="BD93" s="352"/>
      <c r="BE93" s="352"/>
      <c r="BF93" s="352"/>
      <c r="BG93" s="352"/>
      <c r="BH93" s="352"/>
      <c r="BI93" s="352"/>
      <c r="BJ93" s="352"/>
      <c r="BK93" s="352"/>
      <c r="BL93" s="352"/>
      <c r="BM93" s="352"/>
      <c r="BN93" s="352"/>
      <c r="BO93" s="352"/>
      <c r="BP93" s="352"/>
      <c r="BQ93" s="352"/>
      <c r="BR93" s="352"/>
      <c r="BS93" s="352"/>
      <c r="BT93" s="352"/>
      <c r="BU93" s="352"/>
      <c r="BV93" s="352"/>
      <c r="BW93" s="352"/>
      <c r="BX93" s="352"/>
      <c r="BY93" s="352"/>
      <c r="BZ93" s="352"/>
      <c r="CA93" s="352"/>
      <c r="CB93" s="352"/>
    </row>
    <row r="94" spans="1:80" x14ac:dyDescent="0.2">
      <c r="E94" s="470"/>
      <c r="N94" s="271"/>
      <c r="O94" s="271"/>
      <c r="P94" s="271"/>
      <c r="Q94" s="271"/>
      <c r="R94" s="271"/>
      <c r="S94" s="474"/>
    </row>
    <row r="95" spans="1:80" x14ac:dyDescent="0.2">
      <c r="E95" s="475"/>
      <c r="N95" s="271"/>
      <c r="O95" s="271"/>
      <c r="P95" s="271"/>
      <c r="Q95" s="271"/>
      <c r="R95" s="271"/>
      <c r="S95" s="474"/>
    </row>
    <row r="96" spans="1:80" x14ac:dyDescent="0.2">
      <c r="E96" s="470"/>
      <c r="N96" s="271"/>
      <c r="O96" s="271"/>
      <c r="P96" s="271"/>
      <c r="Q96" s="271"/>
      <c r="R96" s="271"/>
      <c r="S96" s="474"/>
    </row>
    <row r="97" spans="5:19" x14ac:dyDescent="0.2">
      <c r="E97" s="475"/>
      <c r="N97" s="271"/>
      <c r="O97" s="271"/>
      <c r="P97" s="271"/>
      <c r="Q97" s="271"/>
      <c r="R97" s="271"/>
      <c r="S97" s="474"/>
    </row>
    <row r="98" spans="5:19" x14ac:dyDescent="0.2">
      <c r="E98" s="470"/>
      <c r="N98" s="271"/>
      <c r="O98" s="271"/>
      <c r="P98" s="271"/>
      <c r="Q98" s="271"/>
      <c r="R98" s="271"/>
      <c r="S98" s="474"/>
    </row>
    <row r="99" spans="5:19" x14ac:dyDescent="0.2">
      <c r="E99" s="476"/>
      <c r="N99" s="271"/>
      <c r="O99" s="271"/>
      <c r="P99" s="271"/>
      <c r="Q99" s="271"/>
      <c r="R99" s="271"/>
      <c r="S99" s="474"/>
    </row>
    <row r="100" spans="5:19" x14ac:dyDescent="0.2">
      <c r="E100" s="470"/>
      <c r="N100" s="271"/>
      <c r="O100" s="271"/>
      <c r="P100" s="271"/>
      <c r="Q100" s="271"/>
      <c r="R100" s="271"/>
      <c r="S100" s="474"/>
    </row>
    <row r="101" spans="5:19" x14ac:dyDescent="0.2">
      <c r="E101" s="477"/>
      <c r="N101" s="271"/>
      <c r="O101" s="271"/>
      <c r="P101" s="271"/>
      <c r="Q101" s="271"/>
      <c r="R101" s="271"/>
      <c r="S101" s="474"/>
    </row>
    <row r="102" spans="5:19" x14ac:dyDescent="0.2">
      <c r="E102" s="470"/>
      <c r="N102" s="271"/>
      <c r="O102" s="271"/>
      <c r="P102" s="271"/>
      <c r="Q102" s="271"/>
      <c r="R102" s="271"/>
      <c r="S102" s="474"/>
    </row>
    <row r="103" spans="5:19" x14ac:dyDescent="0.2">
      <c r="E103" s="470"/>
      <c r="N103" s="271"/>
      <c r="O103" s="271"/>
      <c r="P103" s="271"/>
      <c r="Q103" s="271"/>
      <c r="R103" s="271"/>
      <c r="S103" s="474"/>
    </row>
    <row r="104" spans="5:19" x14ac:dyDescent="0.2">
      <c r="E104" s="470"/>
      <c r="N104" s="271"/>
      <c r="O104" s="271"/>
      <c r="P104" s="271"/>
      <c r="Q104" s="271"/>
      <c r="R104" s="271"/>
      <c r="S104" s="474"/>
    </row>
    <row r="105" spans="5:19" x14ac:dyDescent="0.2">
      <c r="E105" s="477"/>
      <c r="N105" s="271"/>
      <c r="O105" s="271"/>
      <c r="P105" s="271"/>
      <c r="Q105" s="271"/>
      <c r="R105" s="271"/>
      <c r="S105" s="474"/>
    </row>
    <row r="106" spans="5:19" x14ac:dyDescent="0.2">
      <c r="E106" s="470"/>
      <c r="N106" s="271"/>
      <c r="O106" s="271"/>
      <c r="P106" s="271"/>
      <c r="Q106" s="271"/>
      <c r="R106" s="271"/>
      <c r="S106" s="474"/>
    </row>
    <row r="107" spans="5:19" x14ac:dyDescent="0.2">
      <c r="E107" s="470"/>
      <c r="N107" s="271"/>
      <c r="O107" s="271"/>
      <c r="P107" s="271"/>
      <c r="Q107" s="271"/>
      <c r="R107" s="271"/>
      <c r="S107" s="474"/>
    </row>
    <row r="108" spans="5:19" x14ac:dyDescent="0.2">
      <c r="E108" s="470"/>
      <c r="N108" s="271"/>
      <c r="O108" s="271"/>
      <c r="P108" s="271"/>
      <c r="Q108" s="271"/>
      <c r="R108" s="271"/>
      <c r="S108" s="474"/>
    </row>
    <row r="109" spans="5:19" x14ac:dyDescent="0.2">
      <c r="E109" s="475"/>
      <c r="N109" s="271"/>
      <c r="O109" s="271"/>
      <c r="P109" s="271"/>
      <c r="Q109" s="271"/>
      <c r="R109" s="271"/>
      <c r="S109" s="474"/>
    </row>
    <row r="110" spans="5:19" x14ac:dyDescent="0.2">
      <c r="E110" s="470"/>
      <c r="N110" s="271"/>
      <c r="O110" s="271"/>
      <c r="P110" s="271"/>
      <c r="Q110" s="271"/>
      <c r="R110" s="271"/>
      <c r="S110" s="474"/>
    </row>
    <row r="111" spans="5:19" x14ac:dyDescent="0.2">
      <c r="E111" s="475"/>
      <c r="N111" s="271"/>
      <c r="O111" s="271"/>
      <c r="P111" s="271"/>
      <c r="Q111" s="271"/>
      <c r="R111" s="271"/>
      <c r="S111" s="474"/>
    </row>
    <row r="112" spans="5:19" x14ac:dyDescent="0.2">
      <c r="E112" s="470"/>
      <c r="N112" s="271"/>
      <c r="O112" s="271"/>
      <c r="P112" s="271"/>
      <c r="Q112" s="271"/>
      <c r="R112" s="271"/>
      <c r="S112" s="474"/>
    </row>
    <row r="113" spans="5:19" x14ac:dyDescent="0.2">
      <c r="E113" s="476"/>
      <c r="N113" s="271"/>
      <c r="O113" s="271"/>
      <c r="P113" s="271"/>
      <c r="Q113" s="271"/>
      <c r="R113" s="271"/>
      <c r="S113" s="474"/>
    </row>
    <row r="114" spans="5:19" x14ac:dyDescent="0.2">
      <c r="E114" s="470"/>
      <c r="N114" s="271"/>
      <c r="O114" s="271"/>
      <c r="P114" s="271"/>
      <c r="Q114" s="271"/>
      <c r="R114" s="271"/>
      <c r="S114" s="474"/>
    </row>
    <row r="115" spans="5:19" x14ac:dyDescent="0.2">
      <c r="E115" s="477"/>
      <c r="N115" s="271"/>
      <c r="O115" s="271"/>
      <c r="P115" s="271"/>
      <c r="Q115" s="271"/>
      <c r="R115" s="271"/>
      <c r="S115" s="474"/>
    </row>
    <row r="116" spans="5:19" x14ac:dyDescent="0.2">
      <c r="E116" s="470"/>
      <c r="N116" s="271"/>
      <c r="O116" s="271"/>
      <c r="P116" s="271"/>
      <c r="Q116" s="271"/>
      <c r="R116" s="271"/>
      <c r="S116" s="474"/>
    </row>
    <row r="117" spans="5:19" x14ac:dyDescent="0.2">
      <c r="E117" s="470"/>
      <c r="N117" s="271"/>
      <c r="O117" s="271"/>
      <c r="P117" s="271"/>
      <c r="Q117" s="271"/>
      <c r="R117" s="271"/>
      <c r="S117" s="474"/>
    </row>
    <row r="118" spans="5:19" x14ac:dyDescent="0.2">
      <c r="E118" s="470"/>
      <c r="N118" s="271"/>
      <c r="O118" s="271"/>
      <c r="P118" s="271"/>
      <c r="Q118" s="271"/>
      <c r="R118" s="271"/>
      <c r="S118" s="474"/>
    </row>
    <row r="119" spans="5:19" x14ac:dyDescent="0.2">
      <c r="E119" s="477"/>
      <c r="N119" s="271"/>
      <c r="O119" s="271"/>
      <c r="P119" s="271"/>
      <c r="Q119" s="271"/>
      <c r="R119" s="271"/>
      <c r="S119" s="474"/>
    </row>
    <row r="120" spans="5:19" x14ac:dyDescent="0.2">
      <c r="E120" s="470"/>
      <c r="N120" s="271"/>
      <c r="O120" s="271"/>
      <c r="P120" s="271"/>
      <c r="Q120" s="271"/>
      <c r="R120" s="271"/>
      <c r="S120" s="474"/>
    </row>
    <row r="121" spans="5:19" x14ac:dyDescent="0.2">
      <c r="E121" s="470"/>
      <c r="N121" s="271"/>
      <c r="O121" s="271"/>
      <c r="P121" s="271"/>
      <c r="Q121" s="271"/>
      <c r="R121" s="271"/>
      <c r="S121" s="474"/>
    </row>
    <row r="122" spans="5:19" x14ac:dyDescent="0.2">
      <c r="E122" s="470"/>
      <c r="N122" s="271"/>
      <c r="O122" s="271"/>
      <c r="P122" s="271"/>
      <c r="Q122" s="271"/>
      <c r="R122" s="271"/>
      <c r="S122" s="474"/>
    </row>
    <row r="123" spans="5:19" x14ac:dyDescent="0.2">
      <c r="E123" s="475"/>
      <c r="N123" s="271"/>
      <c r="O123" s="271"/>
      <c r="P123" s="271"/>
      <c r="Q123" s="271"/>
      <c r="R123" s="271"/>
      <c r="S123" s="474"/>
    </row>
    <row r="124" spans="5:19" x14ac:dyDescent="0.2">
      <c r="E124" s="470"/>
      <c r="N124" s="271"/>
      <c r="O124" s="271"/>
      <c r="P124" s="271"/>
      <c r="Q124" s="271"/>
      <c r="R124" s="271"/>
      <c r="S124" s="474"/>
    </row>
    <row r="125" spans="5:19" x14ac:dyDescent="0.2">
      <c r="E125" s="475"/>
      <c r="N125" s="271"/>
      <c r="O125" s="271"/>
      <c r="P125" s="271"/>
      <c r="Q125" s="271"/>
      <c r="R125" s="271"/>
      <c r="S125" s="474"/>
    </row>
    <row r="126" spans="5:19" x14ac:dyDescent="0.2">
      <c r="E126" s="470"/>
      <c r="N126" s="271"/>
      <c r="O126" s="271"/>
      <c r="P126" s="271"/>
      <c r="Q126" s="271"/>
      <c r="R126" s="271"/>
      <c r="S126" s="474"/>
    </row>
    <row r="127" spans="5:19" x14ac:dyDescent="0.2">
      <c r="E127" s="476"/>
      <c r="N127" s="271"/>
      <c r="O127" s="271"/>
      <c r="P127" s="271"/>
      <c r="Q127" s="271"/>
      <c r="R127" s="271"/>
      <c r="S127" s="474"/>
    </row>
    <row r="128" spans="5:19" x14ac:dyDescent="0.2">
      <c r="E128" s="470"/>
      <c r="N128" s="271"/>
      <c r="O128" s="271"/>
      <c r="P128" s="271"/>
      <c r="Q128" s="271"/>
      <c r="R128" s="271"/>
      <c r="S128" s="474"/>
    </row>
    <row r="129" spans="5:19" x14ac:dyDescent="0.2">
      <c r="E129" s="477"/>
      <c r="N129" s="271"/>
      <c r="O129" s="271"/>
      <c r="P129" s="271"/>
      <c r="Q129" s="271"/>
      <c r="R129" s="271"/>
      <c r="S129" s="474"/>
    </row>
    <row r="130" spans="5:19" x14ac:dyDescent="0.2">
      <c r="E130" s="470"/>
      <c r="N130" s="271"/>
      <c r="O130" s="271"/>
      <c r="P130" s="271"/>
      <c r="Q130" s="271"/>
      <c r="R130" s="271"/>
      <c r="S130" s="474"/>
    </row>
    <row r="131" spans="5:19" x14ac:dyDescent="0.2">
      <c r="E131" s="470"/>
      <c r="N131" s="271"/>
      <c r="O131" s="271"/>
      <c r="P131" s="271"/>
      <c r="Q131" s="271"/>
      <c r="R131" s="271"/>
      <c r="S131" s="474"/>
    </row>
    <row r="132" spans="5:19" x14ac:dyDescent="0.2">
      <c r="E132" s="470"/>
      <c r="N132" s="271"/>
      <c r="O132" s="271"/>
      <c r="P132" s="271"/>
      <c r="Q132" s="271"/>
      <c r="R132" s="271"/>
      <c r="S132" s="474"/>
    </row>
    <row r="133" spans="5:19" x14ac:dyDescent="0.2">
      <c r="E133" s="477"/>
      <c r="N133" s="271"/>
      <c r="O133" s="271"/>
      <c r="P133" s="271"/>
      <c r="Q133" s="271"/>
      <c r="R133" s="271"/>
      <c r="S133" s="474"/>
    </row>
    <row r="134" spans="5:19" x14ac:dyDescent="0.2">
      <c r="E134" s="470"/>
      <c r="N134" s="271"/>
      <c r="O134" s="271"/>
      <c r="P134" s="271"/>
      <c r="Q134" s="271"/>
      <c r="R134" s="271"/>
      <c r="S134" s="474"/>
    </row>
    <row r="135" spans="5:19" x14ac:dyDescent="0.2">
      <c r="E135" s="470"/>
      <c r="N135" s="271"/>
      <c r="O135" s="271"/>
      <c r="P135" s="271"/>
      <c r="Q135" s="271"/>
      <c r="R135" s="271"/>
      <c r="S135" s="474"/>
    </row>
    <row r="136" spans="5:19" x14ac:dyDescent="0.2">
      <c r="E136" s="470"/>
      <c r="N136" s="271"/>
      <c r="O136" s="271"/>
      <c r="P136" s="271"/>
      <c r="Q136" s="271"/>
      <c r="R136" s="271"/>
      <c r="S136" s="474"/>
    </row>
    <row r="137" spans="5:19" x14ac:dyDescent="0.2">
      <c r="E137" s="475"/>
      <c r="N137" s="271"/>
      <c r="O137" s="271"/>
      <c r="P137" s="271"/>
      <c r="Q137" s="271"/>
      <c r="R137" s="271"/>
      <c r="S137" s="474"/>
    </row>
    <row r="138" spans="5:19" x14ac:dyDescent="0.2">
      <c r="E138" s="470"/>
      <c r="N138" s="271"/>
      <c r="O138" s="271"/>
      <c r="P138" s="271"/>
      <c r="Q138" s="271"/>
      <c r="R138" s="271"/>
      <c r="S138" s="474"/>
    </row>
    <row r="139" spans="5:19" x14ac:dyDescent="0.2">
      <c r="E139" s="475"/>
      <c r="N139" s="271"/>
      <c r="O139" s="271"/>
      <c r="P139" s="271"/>
      <c r="Q139" s="271"/>
      <c r="R139" s="271"/>
      <c r="S139" s="474"/>
    </row>
    <row r="140" spans="5:19" x14ac:dyDescent="0.2">
      <c r="E140" s="470"/>
      <c r="N140" s="271"/>
      <c r="O140" s="271"/>
      <c r="P140" s="271"/>
      <c r="Q140" s="271"/>
      <c r="R140" s="271"/>
      <c r="S140" s="474"/>
    </row>
    <row r="141" spans="5:19" x14ac:dyDescent="0.2">
      <c r="E141" s="476"/>
      <c r="N141" s="271"/>
      <c r="O141" s="271"/>
      <c r="P141" s="271"/>
      <c r="Q141" s="271"/>
      <c r="R141" s="271"/>
      <c r="S141" s="474"/>
    </row>
    <row r="142" spans="5:19" x14ac:dyDescent="0.2">
      <c r="E142" s="470"/>
      <c r="N142" s="271"/>
      <c r="O142" s="271"/>
      <c r="P142" s="271"/>
      <c r="Q142" s="271"/>
      <c r="R142" s="271"/>
      <c r="S142" s="474"/>
    </row>
    <row r="143" spans="5:19" x14ac:dyDescent="0.2">
      <c r="E143" s="477"/>
      <c r="N143" s="271"/>
      <c r="O143" s="271"/>
      <c r="P143" s="271"/>
      <c r="Q143" s="271"/>
      <c r="R143" s="271"/>
      <c r="S143" s="474"/>
    </row>
    <row r="144" spans="5:19" x14ac:dyDescent="0.2">
      <c r="E144" s="470"/>
      <c r="N144" s="271"/>
      <c r="O144" s="271"/>
      <c r="P144" s="271"/>
      <c r="Q144" s="271"/>
      <c r="R144" s="271"/>
      <c r="S144" s="474"/>
    </row>
    <row r="145" spans="5:19" x14ac:dyDescent="0.2">
      <c r="E145" s="470"/>
      <c r="N145" s="271"/>
      <c r="O145" s="271"/>
      <c r="P145" s="271"/>
      <c r="Q145" s="271"/>
      <c r="R145" s="271"/>
      <c r="S145" s="474"/>
    </row>
    <row r="146" spans="5:19" x14ac:dyDescent="0.2">
      <c r="E146" s="470"/>
      <c r="N146" s="271"/>
      <c r="O146" s="271"/>
      <c r="P146" s="271"/>
      <c r="Q146" s="271"/>
      <c r="R146" s="271"/>
      <c r="S146" s="474"/>
    </row>
    <row r="147" spans="5:19" x14ac:dyDescent="0.2">
      <c r="E147" s="477"/>
      <c r="N147" s="271"/>
      <c r="O147" s="271"/>
      <c r="P147" s="271"/>
      <c r="Q147" s="271"/>
      <c r="R147" s="271"/>
      <c r="S147" s="474"/>
    </row>
    <row r="148" spans="5:19" x14ac:dyDescent="0.2">
      <c r="E148" s="470"/>
      <c r="N148" s="271"/>
      <c r="O148" s="271"/>
      <c r="P148" s="271"/>
      <c r="Q148" s="271"/>
      <c r="R148" s="271"/>
      <c r="S148" s="474"/>
    </row>
    <row r="149" spans="5:19" x14ac:dyDescent="0.2">
      <c r="E149" s="470"/>
      <c r="N149" s="271"/>
      <c r="O149" s="271"/>
      <c r="P149" s="271"/>
      <c r="Q149" s="271"/>
      <c r="R149" s="271"/>
      <c r="S149" s="474"/>
    </row>
    <row r="150" spans="5:19" x14ac:dyDescent="0.2">
      <c r="E150" s="470"/>
      <c r="N150" s="271"/>
      <c r="O150" s="271"/>
      <c r="P150" s="271"/>
      <c r="Q150" s="271"/>
      <c r="R150" s="271"/>
      <c r="S150" s="474"/>
    </row>
    <row r="151" spans="5:19" x14ac:dyDescent="0.2">
      <c r="E151" s="475"/>
      <c r="N151" s="271"/>
      <c r="O151" s="271"/>
      <c r="P151" s="271"/>
      <c r="Q151" s="271"/>
      <c r="R151" s="271"/>
      <c r="S151" s="474"/>
    </row>
    <row r="152" spans="5:19" x14ac:dyDescent="0.2">
      <c r="E152" s="470"/>
      <c r="N152" s="271"/>
      <c r="O152" s="271"/>
      <c r="P152" s="271"/>
      <c r="Q152" s="271"/>
      <c r="R152" s="271"/>
      <c r="S152" s="474"/>
    </row>
    <row r="153" spans="5:19" x14ac:dyDescent="0.2">
      <c r="E153" s="475"/>
      <c r="N153" s="271"/>
      <c r="O153" s="271"/>
      <c r="P153" s="271"/>
      <c r="Q153" s="271"/>
      <c r="R153" s="271"/>
      <c r="S153" s="474"/>
    </row>
    <row r="154" spans="5:19" x14ac:dyDescent="0.2">
      <c r="E154" s="470"/>
      <c r="N154" s="271"/>
      <c r="O154" s="271"/>
      <c r="P154" s="271"/>
      <c r="Q154" s="271"/>
      <c r="R154" s="271"/>
      <c r="S154" s="474"/>
    </row>
    <row r="155" spans="5:19" x14ac:dyDescent="0.2">
      <c r="E155" s="476"/>
      <c r="N155" s="271"/>
      <c r="O155" s="271"/>
      <c r="P155" s="271"/>
      <c r="Q155" s="271"/>
      <c r="R155" s="271"/>
      <c r="S155" s="474"/>
    </row>
    <row r="156" spans="5:19" x14ac:dyDescent="0.2">
      <c r="E156" s="470"/>
      <c r="N156" s="271"/>
      <c r="O156" s="271"/>
      <c r="P156" s="271"/>
      <c r="Q156" s="271"/>
      <c r="R156" s="271"/>
      <c r="S156" s="474"/>
    </row>
    <row r="157" spans="5:19" x14ac:dyDescent="0.2">
      <c r="E157" s="477"/>
      <c r="N157" s="271"/>
      <c r="O157" s="271"/>
      <c r="P157" s="271"/>
      <c r="Q157" s="271"/>
      <c r="R157" s="271"/>
      <c r="S157" s="474"/>
    </row>
    <row r="158" spans="5:19" x14ac:dyDescent="0.2">
      <c r="E158" s="470"/>
      <c r="N158" s="271"/>
      <c r="O158" s="271"/>
      <c r="P158" s="271"/>
      <c r="Q158" s="271"/>
      <c r="R158" s="271"/>
      <c r="S158" s="474"/>
    </row>
    <row r="159" spans="5:19" x14ac:dyDescent="0.2">
      <c r="E159" s="470"/>
      <c r="N159" s="271"/>
      <c r="O159" s="271"/>
      <c r="P159" s="271"/>
      <c r="Q159" s="271"/>
      <c r="R159" s="271"/>
      <c r="S159" s="474"/>
    </row>
    <row r="160" spans="5:19" x14ac:dyDescent="0.2">
      <c r="E160" s="470"/>
      <c r="N160" s="271"/>
      <c r="O160" s="271"/>
      <c r="P160" s="271"/>
      <c r="Q160" s="271"/>
      <c r="R160" s="271"/>
      <c r="S160" s="474"/>
    </row>
    <row r="161" spans="5:19" x14ac:dyDescent="0.2">
      <c r="E161" s="477"/>
      <c r="N161" s="271"/>
      <c r="O161" s="271"/>
      <c r="P161" s="271"/>
      <c r="Q161" s="271"/>
      <c r="R161" s="271"/>
      <c r="S161" s="474"/>
    </row>
    <row r="162" spans="5:19" x14ac:dyDescent="0.2">
      <c r="E162" s="470"/>
      <c r="N162" s="271"/>
      <c r="O162" s="271"/>
      <c r="P162" s="271"/>
      <c r="Q162" s="271"/>
      <c r="R162" s="271"/>
      <c r="S162" s="474"/>
    </row>
    <row r="163" spans="5:19" x14ac:dyDescent="0.2">
      <c r="E163" s="470"/>
      <c r="N163" s="271"/>
      <c r="O163" s="271"/>
      <c r="P163" s="271"/>
      <c r="Q163" s="271"/>
      <c r="R163" s="271"/>
      <c r="S163" s="474"/>
    </row>
    <row r="164" spans="5:19" x14ac:dyDescent="0.2">
      <c r="E164" s="470"/>
      <c r="N164" s="271"/>
      <c r="O164" s="271"/>
      <c r="P164" s="271"/>
      <c r="Q164" s="271"/>
      <c r="R164" s="271"/>
      <c r="S164" s="474"/>
    </row>
    <row r="165" spans="5:19" x14ac:dyDescent="0.2">
      <c r="E165" s="475"/>
      <c r="N165" s="271"/>
      <c r="O165" s="271"/>
      <c r="P165" s="271"/>
      <c r="Q165" s="271"/>
      <c r="R165" s="271"/>
      <c r="S165" s="474"/>
    </row>
    <row r="166" spans="5:19" x14ac:dyDescent="0.2">
      <c r="E166" s="470"/>
      <c r="N166" s="271"/>
      <c r="O166" s="271"/>
      <c r="P166" s="271"/>
      <c r="Q166" s="271"/>
      <c r="R166" s="271"/>
      <c r="S166" s="474"/>
    </row>
    <row r="167" spans="5:19" x14ac:dyDescent="0.2">
      <c r="E167" s="475"/>
      <c r="N167" s="271"/>
      <c r="O167" s="271"/>
      <c r="P167" s="271"/>
      <c r="Q167" s="271"/>
      <c r="R167" s="271"/>
      <c r="S167" s="474"/>
    </row>
    <row r="168" spans="5:19" x14ac:dyDescent="0.2">
      <c r="E168" s="470"/>
      <c r="N168" s="271"/>
      <c r="O168" s="271"/>
      <c r="P168" s="271"/>
      <c r="Q168" s="271"/>
      <c r="R168" s="271"/>
      <c r="S168" s="474"/>
    </row>
    <row r="169" spans="5:19" x14ac:dyDescent="0.2">
      <c r="E169" s="476"/>
      <c r="N169" s="271"/>
      <c r="O169" s="271"/>
      <c r="P169" s="271"/>
      <c r="Q169" s="271"/>
      <c r="R169" s="271"/>
      <c r="S169" s="474"/>
    </row>
    <row r="170" spans="5:19" x14ac:dyDescent="0.2">
      <c r="E170" s="470"/>
      <c r="N170" s="271"/>
      <c r="O170" s="271"/>
      <c r="P170" s="271"/>
      <c r="Q170" s="271"/>
      <c r="R170" s="271"/>
      <c r="S170" s="474"/>
    </row>
    <row r="171" spans="5:19" x14ac:dyDescent="0.2">
      <c r="E171" s="477"/>
      <c r="N171" s="271"/>
      <c r="O171" s="271"/>
      <c r="P171" s="271"/>
      <c r="Q171" s="271"/>
      <c r="R171" s="271"/>
      <c r="S171" s="474"/>
    </row>
    <row r="172" spans="5:19" x14ac:dyDescent="0.2">
      <c r="E172" s="470"/>
      <c r="N172" s="271"/>
      <c r="O172" s="271"/>
      <c r="P172" s="271"/>
      <c r="Q172" s="271"/>
      <c r="R172" s="271"/>
      <c r="S172" s="474"/>
    </row>
    <row r="173" spans="5:19" x14ac:dyDescent="0.2">
      <c r="E173" s="470"/>
      <c r="N173" s="271"/>
      <c r="O173" s="271"/>
      <c r="P173" s="271"/>
      <c r="Q173" s="271"/>
      <c r="R173" s="271"/>
      <c r="S173" s="474"/>
    </row>
    <row r="174" spans="5:19" x14ac:dyDescent="0.2">
      <c r="E174" s="470"/>
      <c r="N174" s="271"/>
      <c r="O174" s="271"/>
      <c r="P174" s="271"/>
      <c r="Q174" s="271"/>
      <c r="R174" s="271"/>
      <c r="S174" s="474"/>
    </row>
    <row r="175" spans="5:19" x14ac:dyDescent="0.2">
      <c r="E175" s="477"/>
      <c r="N175" s="271"/>
      <c r="O175" s="271"/>
      <c r="P175" s="271"/>
      <c r="Q175" s="271"/>
      <c r="R175" s="271"/>
      <c r="S175" s="474"/>
    </row>
    <row r="176" spans="5:19" x14ac:dyDescent="0.2">
      <c r="E176" s="470"/>
      <c r="N176" s="271"/>
      <c r="O176" s="271"/>
      <c r="P176" s="271"/>
      <c r="Q176" s="271"/>
      <c r="R176" s="271"/>
      <c r="S176" s="474"/>
    </row>
    <row r="177" spans="5:19" x14ac:dyDescent="0.2">
      <c r="E177" s="470"/>
      <c r="N177" s="271"/>
      <c r="O177" s="271"/>
      <c r="P177" s="271"/>
      <c r="Q177" s="271"/>
      <c r="R177" s="271"/>
      <c r="S177" s="474"/>
    </row>
    <row r="178" spans="5:19" x14ac:dyDescent="0.2">
      <c r="E178" s="470"/>
      <c r="N178" s="271"/>
      <c r="O178" s="271"/>
      <c r="P178" s="271"/>
      <c r="Q178" s="271"/>
      <c r="R178" s="271"/>
      <c r="S178" s="474"/>
    </row>
    <row r="179" spans="5:19" x14ac:dyDescent="0.2">
      <c r="E179" s="475"/>
      <c r="N179" s="271"/>
      <c r="O179" s="271"/>
      <c r="P179" s="271"/>
      <c r="Q179" s="271"/>
      <c r="R179" s="271"/>
      <c r="S179" s="474"/>
    </row>
    <row r="180" spans="5:19" x14ac:dyDescent="0.2">
      <c r="E180" s="470"/>
      <c r="N180" s="271"/>
      <c r="O180" s="271"/>
      <c r="P180" s="271"/>
      <c r="Q180" s="271"/>
      <c r="R180" s="271"/>
      <c r="S180" s="474"/>
    </row>
    <row r="181" spans="5:19" x14ac:dyDescent="0.2">
      <c r="E181" s="475"/>
      <c r="N181" s="271"/>
      <c r="O181" s="271"/>
      <c r="P181" s="271"/>
      <c r="Q181" s="271"/>
      <c r="R181" s="271"/>
      <c r="S181" s="474"/>
    </row>
    <row r="182" spans="5:19" x14ac:dyDescent="0.2">
      <c r="E182" s="470"/>
      <c r="N182" s="271"/>
      <c r="O182" s="271"/>
      <c r="P182" s="271"/>
      <c r="Q182" s="271"/>
      <c r="R182" s="271"/>
      <c r="S182" s="474"/>
    </row>
    <row r="183" spans="5:19" x14ac:dyDescent="0.2">
      <c r="E183" s="476"/>
      <c r="N183" s="271"/>
      <c r="O183" s="271"/>
      <c r="P183" s="271"/>
      <c r="Q183" s="271"/>
      <c r="R183" s="271"/>
      <c r="S183" s="474"/>
    </row>
    <row r="184" spans="5:19" x14ac:dyDescent="0.2">
      <c r="E184" s="470"/>
      <c r="N184" s="271"/>
      <c r="O184" s="271"/>
      <c r="P184" s="271"/>
      <c r="Q184" s="271"/>
      <c r="R184" s="271"/>
      <c r="S184" s="474"/>
    </row>
    <row r="185" spans="5:19" x14ac:dyDescent="0.2">
      <c r="E185" s="477"/>
      <c r="N185" s="271"/>
      <c r="O185" s="271"/>
      <c r="P185" s="271"/>
      <c r="Q185" s="271"/>
      <c r="R185" s="271"/>
      <c r="S185" s="474"/>
    </row>
    <row r="186" spans="5:19" x14ac:dyDescent="0.2">
      <c r="E186" s="470"/>
      <c r="N186" s="271"/>
      <c r="O186" s="271"/>
      <c r="P186" s="271"/>
      <c r="Q186" s="271"/>
      <c r="R186" s="271"/>
      <c r="S186" s="474"/>
    </row>
    <row r="187" spans="5:19" x14ac:dyDescent="0.2">
      <c r="E187" s="470"/>
      <c r="N187" s="271"/>
      <c r="O187" s="271"/>
      <c r="P187" s="271"/>
      <c r="Q187" s="271"/>
      <c r="R187" s="271"/>
      <c r="S187" s="474"/>
    </row>
    <row r="188" spans="5:19" x14ac:dyDescent="0.2">
      <c r="E188" s="470"/>
      <c r="N188" s="271"/>
      <c r="O188" s="271"/>
      <c r="P188" s="271"/>
      <c r="Q188" s="271"/>
      <c r="R188" s="271"/>
      <c r="S188" s="474"/>
    </row>
    <row r="189" spans="5:19" x14ac:dyDescent="0.2">
      <c r="E189" s="477"/>
      <c r="N189" s="271"/>
      <c r="O189" s="271"/>
      <c r="P189" s="271"/>
      <c r="Q189" s="271"/>
      <c r="R189" s="271"/>
      <c r="S189" s="474"/>
    </row>
    <row r="190" spans="5:19" x14ac:dyDescent="0.2">
      <c r="E190" s="470"/>
      <c r="N190" s="271"/>
      <c r="O190" s="271"/>
      <c r="P190" s="271"/>
      <c r="Q190" s="271"/>
      <c r="R190" s="271"/>
      <c r="S190" s="474"/>
    </row>
    <row r="191" spans="5:19" x14ac:dyDescent="0.2">
      <c r="E191" s="470"/>
      <c r="N191" s="271"/>
      <c r="O191" s="271"/>
      <c r="P191" s="271"/>
      <c r="Q191" s="271"/>
      <c r="R191" s="271"/>
      <c r="S191" s="474"/>
    </row>
    <row r="192" spans="5:19" x14ac:dyDescent="0.2">
      <c r="E192" s="470"/>
      <c r="N192" s="271"/>
      <c r="O192" s="271"/>
      <c r="P192" s="271"/>
      <c r="Q192" s="271"/>
      <c r="R192" s="271"/>
      <c r="S192" s="474"/>
    </row>
    <row r="193" spans="5:19" x14ac:dyDescent="0.2">
      <c r="E193" s="475"/>
      <c r="N193" s="271"/>
      <c r="O193" s="271"/>
      <c r="P193" s="271"/>
      <c r="Q193" s="271"/>
      <c r="R193" s="271"/>
      <c r="S193" s="474"/>
    </row>
    <row r="194" spans="5:19" x14ac:dyDescent="0.2">
      <c r="E194" s="470"/>
      <c r="N194" s="271"/>
      <c r="O194" s="271"/>
      <c r="P194" s="271"/>
      <c r="Q194" s="271"/>
      <c r="R194" s="271"/>
      <c r="S194" s="474"/>
    </row>
    <row r="195" spans="5:19" x14ac:dyDescent="0.2">
      <c r="E195" s="475"/>
      <c r="N195" s="271"/>
      <c r="O195" s="271"/>
      <c r="P195" s="271"/>
      <c r="Q195" s="271"/>
      <c r="R195" s="271"/>
      <c r="S195" s="474"/>
    </row>
    <row r="196" spans="5:19" x14ac:dyDescent="0.2">
      <c r="E196" s="470"/>
      <c r="N196" s="271"/>
      <c r="O196" s="271"/>
      <c r="P196" s="271"/>
      <c r="Q196" s="271"/>
      <c r="R196" s="271"/>
      <c r="S196" s="474"/>
    </row>
    <row r="197" spans="5:19" x14ac:dyDescent="0.2">
      <c r="E197" s="476"/>
      <c r="N197" s="271"/>
      <c r="O197" s="271"/>
      <c r="P197" s="271"/>
      <c r="Q197" s="271"/>
      <c r="R197" s="271"/>
      <c r="S197" s="474"/>
    </row>
    <row r="198" spans="5:19" x14ac:dyDescent="0.2">
      <c r="E198" s="470"/>
      <c r="N198" s="271"/>
      <c r="O198" s="271"/>
      <c r="P198" s="271"/>
      <c r="Q198" s="271"/>
      <c r="R198" s="271"/>
      <c r="S198" s="474"/>
    </row>
    <row r="199" spans="5:19" x14ac:dyDescent="0.2">
      <c r="E199" s="477"/>
      <c r="N199" s="271"/>
      <c r="O199" s="271"/>
      <c r="P199" s="271"/>
      <c r="Q199" s="271"/>
      <c r="R199" s="271"/>
      <c r="S199" s="474"/>
    </row>
    <row r="200" spans="5:19" x14ac:dyDescent="0.2">
      <c r="E200" s="470"/>
      <c r="N200" s="271"/>
      <c r="O200" s="271"/>
      <c r="P200" s="271"/>
      <c r="Q200" s="271"/>
      <c r="R200" s="271"/>
      <c r="S200" s="474"/>
    </row>
    <row r="201" spans="5:19" x14ac:dyDescent="0.2">
      <c r="E201" s="470"/>
      <c r="N201" s="271"/>
      <c r="O201" s="271"/>
      <c r="P201" s="271"/>
      <c r="Q201" s="271"/>
      <c r="R201" s="271"/>
      <c r="S201" s="474"/>
    </row>
    <row r="202" spans="5:19" x14ac:dyDescent="0.2">
      <c r="E202" s="470"/>
      <c r="N202" s="271"/>
      <c r="O202" s="271"/>
      <c r="P202" s="271"/>
      <c r="Q202" s="271"/>
      <c r="R202" s="271"/>
      <c r="S202" s="474"/>
    </row>
    <row r="203" spans="5:19" x14ac:dyDescent="0.2">
      <c r="E203" s="477"/>
      <c r="N203" s="271"/>
      <c r="O203" s="271"/>
      <c r="P203" s="271"/>
      <c r="Q203" s="271"/>
      <c r="R203" s="271"/>
      <c r="S203" s="474"/>
    </row>
    <row r="204" spans="5:19" x14ac:dyDescent="0.2">
      <c r="E204" s="470"/>
      <c r="N204" s="271"/>
      <c r="O204" s="271"/>
      <c r="P204" s="271"/>
      <c r="Q204" s="271"/>
      <c r="R204" s="271"/>
      <c r="S204" s="474"/>
    </row>
    <row r="205" spans="5:19" x14ac:dyDescent="0.2">
      <c r="E205" s="470"/>
      <c r="N205" s="271"/>
      <c r="O205" s="271"/>
      <c r="P205" s="271"/>
      <c r="Q205" s="271"/>
      <c r="R205" s="271"/>
      <c r="S205" s="474"/>
    </row>
    <row r="206" spans="5:19" x14ac:dyDescent="0.2">
      <c r="E206" s="470"/>
      <c r="N206" s="271"/>
      <c r="O206" s="271"/>
      <c r="P206" s="271"/>
      <c r="Q206" s="271"/>
      <c r="R206" s="271"/>
      <c r="S206" s="474"/>
    </row>
    <row r="207" spans="5:19" x14ac:dyDescent="0.2">
      <c r="E207" s="475"/>
      <c r="N207" s="271"/>
      <c r="O207" s="271"/>
      <c r="P207" s="271"/>
      <c r="Q207" s="271"/>
      <c r="R207" s="271"/>
      <c r="S207" s="474"/>
    </row>
    <row r="208" spans="5:19" x14ac:dyDescent="0.2">
      <c r="E208" s="470"/>
      <c r="N208" s="271"/>
      <c r="O208" s="271"/>
      <c r="P208" s="271"/>
      <c r="Q208" s="271"/>
      <c r="R208" s="271"/>
      <c r="S208" s="474"/>
    </row>
    <row r="209" spans="5:19" x14ac:dyDescent="0.2">
      <c r="E209" s="475"/>
      <c r="N209" s="271"/>
      <c r="O209" s="271"/>
      <c r="P209" s="271"/>
      <c r="Q209" s="271"/>
      <c r="R209" s="271"/>
      <c r="S209" s="474"/>
    </row>
    <row r="210" spans="5:19" x14ac:dyDescent="0.2">
      <c r="E210" s="470"/>
      <c r="N210" s="271"/>
      <c r="O210" s="271"/>
      <c r="P210" s="271"/>
      <c r="Q210" s="271"/>
      <c r="R210" s="271"/>
      <c r="S210" s="474"/>
    </row>
    <row r="211" spans="5:19" x14ac:dyDescent="0.2">
      <c r="E211" s="476"/>
      <c r="N211" s="271"/>
      <c r="O211" s="271"/>
      <c r="P211" s="271"/>
      <c r="Q211" s="271"/>
      <c r="R211" s="271"/>
      <c r="S211" s="474"/>
    </row>
    <row r="212" spans="5:19" x14ac:dyDescent="0.2">
      <c r="E212" s="470"/>
      <c r="N212" s="271"/>
      <c r="O212" s="271"/>
      <c r="P212" s="271"/>
      <c r="Q212" s="271"/>
      <c r="R212" s="271"/>
      <c r="S212" s="474"/>
    </row>
    <row r="213" spans="5:19" x14ac:dyDescent="0.2">
      <c r="E213" s="477"/>
      <c r="N213" s="271"/>
      <c r="O213" s="271"/>
      <c r="P213" s="271"/>
      <c r="Q213" s="271"/>
      <c r="R213" s="271"/>
      <c r="S213" s="474"/>
    </row>
    <row r="214" spans="5:19" x14ac:dyDescent="0.2">
      <c r="E214" s="470"/>
      <c r="N214" s="271"/>
      <c r="O214" s="271"/>
      <c r="P214" s="271"/>
      <c r="Q214" s="271"/>
      <c r="R214" s="271"/>
      <c r="S214" s="474"/>
    </row>
    <row r="215" spans="5:19" x14ac:dyDescent="0.2">
      <c r="E215" s="470"/>
      <c r="N215" s="271"/>
      <c r="O215" s="271"/>
      <c r="P215" s="271"/>
      <c r="Q215" s="271"/>
      <c r="R215" s="271"/>
      <c r="S215" s="474"/>
    </row>
    <row r="216" spans="5:19" x14ac:dyDescent="0.2">
      <c r="E216" s="470"/>
      <c r="N216" s="271"/>
      <c r="O216" s="271"/>
      <c r="P216" s="271"/>
      <c r="Q216" s="271"/>
      <c r="R216" s="271"/>
      <c r="S216" s="474"/>
    </row>
    <row r="217" spans="5:19" x14ac:dyDescent="0.2">
      <c r="E217" s="477"/>
      <c r="N217" s="271"/>
      <c r="O217" s="271"/>
      <c r="P217" s="271"/>
      <c r="Q217" s="271"/>
      <c r="R217" s="271"/>
      <c r="S217" s="474"/>
    </row>
    <row r="218" spans="5:19" x14ac:dyDescent="0.2">
      <c r="E218" s="470"/>
      <c r="N218" s="271"/>
      <c r="O218" s="271"/>
      <c r="P218" s="271"/>
      <c r="Q218" s="271"/>
      <c r="R218" s="271"/>
      <c r="S218" s="474"/>
    </row>
    <row r="219" spans="5:19" x14ac:dyDescent="0.2">
      <c r="E219" s="470"/>
      <c r="N219" s="271"/>
      <c r="O219" s="271"/>
      <c r="P219" s="271"/>
      <c r="Q219" s="271"/>
      <c r="R219" s="271"/>
      <c r="S219" s="474"/>
    </row>
    <row r="220" spans="5:19" x14ac:dyDescent="0.2">
      <c r="E220" s="470"/>
      <c r="N220" s="271"/>
      <c r="O220" s="271"/>
      <c r="P220" s="271"/>
      <c r="Q220" s="271"/>
      <c r="R220" s="271"/>
      <c r="S220" s="474"/>
    </row>
    <row r="425" spans="1:19" ht="12" thickBot="1" x14ac:dyDescent="0.25"/>
    <row r="426" spans="1:19" ht="45" x14ac:dyDescent="0.2">
      <c r="A426" s="480"/>
      <c r="B426" s="481" t="s">
        <v>30</v>
      </c>
      <c r="C426" s="481"/>
      <c r="D426" s="482"/>
      <c r="E426" s="482"/>
      <c r="F426" s="482"/>
      <c r="G426" s="482"/>
      <c r="H426" s="482"/>
      <c r="I426" s="482"/>
      <c r="J426" s="482"/>
      <c r="K426" s="482"/>
      <c r="L426" s="482"/>
      <c r="M426" s="482"/>
      <c r="N426" s="483"/>
      <c r="O426" s="483"/>
      <c r="P426" s="483"/>
      <c r="Q426" s="483"/>
      <c r="R426" s="483"/>
      <c r="S426" s="484"/>
    </row>
    <row r="427" spans="1:19" x14ac:dyDescent="0.2">
      <c r="A427" s="485"/>
      <c r="B427" s="478"/>
      <c r="C427" s="478"/>
      <c r="D427" s="478"/>
      <c r="E427" s="478"/>
      <c r="F427" s="478"/>
      <c r="G427" s="478"/>
      <c r="H427" s="478"/>
      <c r="I427" s="478"/>
      <c r="J427" s="478"/>
      <c r="K427" s="478"/>
      <c r="L427" s="478"/>
      <c r="M427" s="478"/>
      <c r="N427" s="486"/>
      <c r="O427" s="486"/>
      <c r="P427" s="486"/>
      <c r="Q427" s="486"/>
      <c r="R427" s="486"/>
      <c r="S427" s="487"/>
    </row>
    <row r="428" spans="1:19" x14ac:dyDescent="0.2">
      <c r="A428" s="485"/>
      <c r="B428" s="478"/>
      <c r="C428" s="478"/>
      <c r="D428" s="478"/>
      <c r="E428" s="478"/>
      <c r="F428" s="478"/>
      <c r="G428" s="478"/>
      <c r="H428" s="478"/>
      <c r="I428" s="478"/>
      <c r="J428" s="478"/>
      <c r="K428" s="478"/>
      <c r="L428" s="478"/>
      <c r="M428" s="478"/>
      <c r="N428" s="486"/>
      <c r="O428" s="486"/>
      <c r="P428" s="486"/>
      <c r="Q428" s="486"/>
      <c r="R428" s="486"/>
      <c r="S428" s="487"/>
    </row>
    <row r="429" spans="1:19" x14ac:dyDescent="0.2">
      <c r="A429" s="485"/>
      <c r="B429" s="478"/>
      <c r="C429" s="478"/>
      <c r="D429" s="478"/>
      <c r="E429" s="478"/>
      <c r="F429" s="478"/>
      <c r="G429" s="478"/>
      <c r="H429" s="478"/>
      <c r="I429" s="478"/>
      <c r="J429" s="478"/>
      <c r="K429" s="478"/>
      <c r="L429" s="478"/>
      <c r="M429" s="478"/>
      <c r="N429" s="486"/>
      <c r="O429" s="486"/>
      <c r="P429" s="486"/>
      <c r="Q429" s="486"/>
      <c r="R429" s="486"/>
      <c r="S429" s="487"/>
    </row>
    <row r="430" spans="1:19" x14ac:dyDescent="0.2">
      <c r="A430" s="485"/>
      <c r="B430" s="478"/>
      <c r="C430" s="478"/>
      <c r="D430" s="478"/>
      <c r="E430" s="478"/>
      <c r="F430" s="478"/>
      <c r="G430" s="478"/>
      <c r="H430" s="478"/>
      <c r="I430" s="478"/>
      <c r="J430" s="478"/>
      <c r="K430" s="478"/>
      <c r="L430" s="478"/>
      <c r="M430" s="478"/>
      <c r="N430" s="486"/>
      <c r="O430" s="486"/>
      <c r="P430" s="486"/>
      <c r="Q430" s="486"/>
      <c r="R430" s="486"/>
      <c r="S430" s="487"/>
    </row>
    <row r="431" spans="1:19" x14ac:dyDescent="0.2">
      <c r="A431" s="485"/>
      <c r="B431" s="478"/>
      <c r="C431" s="478"/>
      <c r="D431" s="478"/>
      <c r="E431" s="478"/>
      <c r="F431" s="478"/>
      <c r="G431" s="478"/>
      <c r="H431" s="478"/>
      <c r="I431" s="478"/>
      <c r="J431" s="478"/>
      <c r="K431" s="478"/>
      <c r="L431" s="478"/>
      <c r="M431" s="478"/>
      <c r="N431" s="486"/>
      <c r="O431" s="486"/>
      <c r="P431" s="486"/>
      <c r="Q431" s="486"/>
      <c r="R431" s="486"/>
      <c r="S431" s="487"/>
    </row>
    <row r="432" spans="1:19" x14ac:dyDescent="0.2">
      <c r="A432" s="485"/>
      <c r="B432" s="478"/>
      <c r="C432" s="478"/>
      <c r="D432" s="478"/>
      <c r="E432" s="478"/>
      <c r="F432" s="478"/>
      <c r="G432" s="478"/>
      <c r="H432" s="478"/>
      <c r="I432" s="478"/>
      <c r="J432" s="478"/>
      <c r="K432" s="478"/>
      <c r="L432" s="478"/>
      <c r="M432" s="478"/>
      <c r="N432" s="486"/>
      <c r="O432" s="486"/>
      <c r="P432" s="486"/>
      <c r="Q432" s="486"/>
      <c r="R432" s="486"/>
      <c r="S432" s="487"/>
    </row>
    <row r="433" spans="1:19" x14ac:dyDescent="0.2">
      <c r="A433" s="485"/>
      <c r="B433" s="478"/>
      <c r="C433" s="478"/>
      <c r="D433" s="478"/>
      <c r="E433" s="478"/>
      <c r="F433" s="478"/>
      <c r="G433" s="478"/>
      <c r="H433" s="478"/>
      <c r="I433" s="478"/>
      <c r="J433" s="478"/>
      <c r="K433" s="478"/>
      <c r="L433" s="478"/>
      <c r="M433" s="478"/>
      <c r="N433" s="486"/>
      <c r="O433" s="486"/>
      <c r="P433" s="486"/>
      <c r="Q433" s="486"/>
      <c r="R433" s="486"/>
      <c r="S433" s="487"/>
    </row>
    <row r="434" spans="1:19" x14ac:dyDescent="0.2">
      <c r="A434" s="485"/>
      <c r="B434" s="478"/>
      <c r="C434" s="478"/>
      <c r="D434" s="478"/>
      <c r="E434" s="478"/>
      <c r="F434" s="478"/>
      <c r="G434" s="478"/>
      <c r="H434" s="478"/>
      <c r="I434" s="478"/>
      <c r="J434" s="478"/>
      <c r="K434" s="478"/>
      <c r="L434" s="478"/>
      <c r="M434" s="478"/>
      <c r="N434" s="486"/>
      <c r="O434" s="486"/>
      <c r="P434" s="486"/>
      <c r="Q434" s="486"/>
      <c r="R434" s="486"/>
      <c r="S434" s="487"/>
    </row>
    <row r="435" spans="1:19" x14ac:dyDescent="0.2">
      <c r="A435" s="485"/>
      <c r="B435" s="478"/>
      <c r="C435" s="478"/>
      <c r="D435" s="478"/>
      <c r="E435" s="478"/>
      <c r="F435" s="478"/>
      <c r="G435" s="478"/>
      <c r="H435" s="478"/>
      <c r="I435" s="478"/>
      <c r="J435" s="478"/>
      <c r="K435" s="478"/>
      <c r="L435" s="478"/>
      <c r="M435" s="478"/>
      <c r="N435" s="486"/>
      <c r="O435" s="486"/>
      <c r="P435" s="486"/>
      <c r="Q435" s="486"/>
      <c r="R435" s="486"/>
      <c r="S435" s="487"/>
    </row>
    <row r="436" spans="1:19" x14ac:dyDescent="0.2">
      <c r="A436" s="485"/>
      <c r="B436" s="478"/>
      <c r="C436" s="478"/>
      <c r="D436" s="478"/>
      <c r="E436" s="478"/>
      <c r="F436" s="478"/>
      <c r="G436" s="478"/>
      <c r="H436" s="478"/>
      <c r="I436" s="478"/>
      <c r="J436" s="478"/>
      <c r="K436" s="478"/>
      <c r="L436" s="478"/>
      <c r="M436" s="478"/>
      <c r="N436" s="486"/>
      <c r="O436" s="486"/>
      <c r="P436" s="486"/>
      <c r="Q436" s="486"/>
      <c r="R436" s="486"/>
      <c r="S436" s="487"/>
    </row>
    <row r="437" spans="1:19" ht="12" thickBot="1" x14ac:dyDescent="0.25">
      <c r="A437" s="488"/>
      <c r="B437" s="489"/>
      <c r="C437" s="489"/>
      <c r="D437" s="489"/>
      <c r="E437" s="489"/>
      <c r="F437" s="489"/>
      <c r="G437" s="489"/>
      <c r="H437" s="489"/>
      <c r="I437" s="489"/>
      <c r="J437" s="489"/>
      <c r="K437" s="489"/>
      <c r="L437" s="489"/>
      <c r="M437" s="489"/>
      <c r="N437" s="490"/>
      <c r="O437" s="490"/>
      <c r="P437" s="490"/>
      <c r="Q437" s="490"/>
      <c r="R437" s="490"/>
      <c r="S437" s="491"/>
    </row>
  </sheetData>
  <mergeCells count="56">
    <mergeCell ref="A55:A58"/>
    <mergeCell ref="S55:S58"/>
    <mergeCell ref="C57:C58"/>
    <mergeCell ref="A78:A89"/>
    <mergeCell ref="S78:S89"/>
    <mergeCell ref="C80:C84"/>
    <mergeCell ref="C88:C89"/>
    <mergeCell ref="S59:S65"/>
    <mergeCell ref="C61:C62"/>
    <mergeCell ref="C64:C65"/>
    <mergeCell ref="A59:A65"/>
    <mergeCell ref="A66:A77"/>
    <mergeCell ref="S66:S77"/>
    <mergeCell ref="C68:C72"/>
    <mergeCell ref="C76:C77"/>
    <mergeCell ref="S12:S22"/>
    <mergeCell ref="A44:A54"/>
    <mergeCell ref="S44:S54"/>
    <mergeCell ref="C46:C49"/>
    <mergeCell ref="C53:C54"/>
    <mergeCell ref="A32:A43"/>
    <mergeCell ref="S32:S43"/>
    <mergeCell ref="C34:C38"/>
    <mergeCell ref="C42:C43"/>
    <mergeCell ref="A23:A31"/>
    <mergeCell ref="S23:S31"/>
    <mergeCell ref="C25:C28"/>
    <mergeCell ref="C30:C31"/>
    <mergeCell ref="A12:A22"/>
    <mergeCell ref="C13:C17"/>
    <mergeCell ref="N5:N7"/>
    <mergeCell ref="S5:S7"/>
    <mergeCell ref="P6:P7"/>
    <mergeCell ref="Q6:Q7"/>
    <mergeCell ref="R6:R7"/>
    <mergeCell ref="A4:A7"/>
    <mergeCell ref="B4:B7"/>
    <mergeCell ref="C4:C7"/>
    <mergeCell ref="C19:C20"/>
    <mergeCell ref="C21:C22"/>
    <mergeCell ref="N4:S4"/>
    <mergeCell ref="D5:D7"/>
    <mergeCell ref="E5:E7"/>
    <mergeCell ref="F5:F7"/>
    <mergeCell ref="M5:M7"/>
    <mergeCell ref="G5:H5"/>
    <mergeCell ref="G6:G7"/>
    <mergeCell ref="H6:H7"/>
    <mergeCell ref="O5:R5"/>
    <mergeCell ref="O6:O7"/>
    <mergeCell ref="I5:I7"/>
    <mergeCell ref="J5:J7"/>
    <mergeCell ref="K5:K7"/>
    <mergeCell ref="L5:L7"/>
    <mergeCell ref="D4:H4"/>
    <mergeCell ref="I4:M4"/>
  </mergeCells>
  <printOptions horizontalCentered="1"/>
  <pageMargins left="0.15748031496062992" right="0.15748031496062992" top="0.47244094488188981" bottom="0.43307086614173229" header="0.15748031496062992" footer="0.15748031496062992"/>
  <pageSetup paperSize="9" scale="60" firstPageNumber="78" orientation="portrait" useFirstPageNumber="1" r:id="rId1"/>
  <headerFooter alignWithMargins="0">
    <oddHeader>&amp;C&amp;"Arial,Kursywa"Informacja o przebiegu wykonania budżetu Województwa Zachodniopomorskiego za I kwartał 2013 roku - załączniki
____________________________________________________________________________________________________________________________</oddHeader>
    <oddFooter>&amp;C&amp;8&amp;P</oddFooter>
  </headerFooter>
  <rowBreaks count="1" manualBreakCount="1">
    <brk id="77" max="1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1:BS273"/>
  <sheetViews>
    <sheetView showGridLines="0" view="pageBreakPreview" topLeftCell="A227" zoomScaleNormal="100" zoomScaleSheetLayoutView="100" workbookViewId="0">
      <selection activeCell="A227" sqref="A1:XFD1048576"/>
    </sheetView>
  </sheetViews>
  <sheetFormatPr defaultRowHeight="11.25" outlineLevelRow="1" x14ac:dyDescent="0.2"/>
  <cols>
    <col min="1" max="1" width="3.7109375" style="473" customWidth="1"/>
    <col min="2" max="2" width="50.85546875" style="271" customWidth="1"/>
    <col min="3" max="3" width="10.85546875" style="271" customWidth="1"/>
    <col min="4" max="4" width="13.7109375" style="271" customWidth="1"/>
    <col min="5" max="5" width="9.85546875" style="271" hidden="1" customWidth="1"/>
    <col min="6" max="6" width="10.140625" style="271" hidden="1" customWidth="1"/>
    <col min="7" max="7" width="13.140625" style="271" customWidth="1"/>
    <col min="8" max="8" width="12.7109375" style="271" customWidth="1"/>
    <col min="9" max="9" width="14" style="271" hidden="1" customWidth="1"/>
    <col min="10" max="10" width="10.42578125" style="271" hidden="1" customWidth="1"/>
    <col min="11" max="11" width="11.7109375" style="271" hidden="1" customWidth="1"/>
    <col min="12" max="12" width="10.42578125" style="271" hidden="1" customWidth="1"/>
    <col min="13" max="13" width="10.28515625" style="271" hidden="1" customWidth="1"/>
    <col min="14" max="14" width="11.85546875" style="478" customWidth="1"/>
    <col min="15" max="15" width="10.28515625" style="478" customWidth="1"/>
    <col min="16" max="16" width="11" style="478" customWidth="1"/>
    <col min="17" max="17" width="12.140625" style="478" customWidth="1"/>
    <col min="18" max="18" width="12.42578125" style="478" hidden="1" customWidth="1"/>
    <col min="19" max="19" width="15.140625" style="479" customWidth="1"/>
    <col min="20" max="20" width="11.7109375" style="479" customWidth="1"/>
    <col min="21" max="21" width="15.140625" style="271" customWidth="1"/>
    <col min="22" max="22" width="5" style="271" customWidth="1"/>
    <col min="23" max="23" width="11.140625" style="271" customWidth="1"/>
    <col min="24" max="16384" width="9.140625" style="271"/>
  </cols>
  <sheetData>
    <row r="1" spans="1:71" ht="20.25" customHeight="1" x14ac:dyDescent="0.3">
      <c r="A1" s="2082"/>
      <c r="N1" s="9"/>
      <c r="O1" s="9"/>
      <c r="P1" s="9"/>
      <c r="Q1" s="9" t="s">
        <v>372</v>
      </c>
      <c r="R1" s="9"/>
      <c r="S1" s="1285"/>
      <c r="T1" s="1286"/>
    </row>
    <row r="2" spans="1:71" ht="3" customHeight="1" x14ac:dyDescent="0.2">
      <c r="A2" s="2082"/>
      <c r="C2" s="478"/>
      <c r="D2" s="2083"/>
      <c r="G2" s="478"/>
      <c r="H2" s="478"/>
      <c r="N2" s="242"/>
      <c r="O2" s="1408"/>
      <c r="P2" s="242"/>
      <c r="Q2" s="242"/>
      <c r="R2" s="242"/>
      <c r="S2" s="237"/>
      <c r="T2" s="1287"/>
    </row>
    <row r="3" spans="1:71" s="240" customFormat="1" ht="48" customHeight="1" thickBot="1" x14ac:dyDescent="0.5">
      <c r="A3" s="3194" t="s">
        <v>213</v>
      </c>
      <c r="B3" s="2923"/>
      <c r="C3" s="2923"/>
      <c r="D3" s="2923"/>
      <c r="E3" s="2923"/>
      <c r="F3" s="2923"/>
      <c r="G3" s="2923"/>
      <c r="H3" s="2923"/>
      <c r="I3" s="2923"/>
      <c r="J3" s="2923"/>
      <c r="K3" s="2923"/>
      <c r="L3" s="2923"/>
      <c r="M3" s="2923"/>
      <c r="N3" s="2923"/>
      <c r="O3" s="2923"/>
      <c r="P3" s="2923"/>
      <c r="Q3" s="2923"/>
      <c r="R3" s="2923"/>
      <c r="S3" s="2923"/>
      <c r="T3" s="128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8"/>
      <c r="AO3" s="238"/>
      <c r="AP3" s="238"/>
      <c r="AQ3" s="239"/>
      <c r="AR3" s="239"/>
      <c r="AS3" s="239"/>
      <c r="AT3" s="239"/>
      <c r="AU3" s="239"/>
      <c r="AV3" s="239"/>
      <c r="AW3" s="239"/>
      <c r="AX3" s="239"/>
      <c r="AY3" s="239"/>
      <c r="AZ3" s="239"/>
      <c r="BA3" s="239"/>
      <c r="BB3" s="239"/>
      <c r="BC3" s="239"/>
      <c r="BD3" s="239"/>
      <c r="BE3" s="239"/>
      <c r="BF3" s="239"/>
      <c r="BG3" s="239"/>
      <c r="BH3" s="239"/>
      <c r="BI3" s="239"/>
      <c r="BJ3" s="239"/>
      <c r="BK3" s="239"/>
      <c r="BL3" s="239"/>
      <c r="BM3" s="239"/>
      <c r="BN3" s="239"/>
      <c r="BO3" s="239"/>
      <c r="BP3" s="239"/>
      <c r="BQ3" s="239"/>
      <c r="BR3" s="239"/>
      <c r="BS3" s="239"/>
    </row>
    <row r="4" spans="1:71" s="493" customFormat="1" ht="46.5" customHeight="1" x14ac:dyDescent="0.2">
      <c r="A4" s="3195" t="s">
        <v>32</v>
      </c>
      <c r="B4" s="3198" t="s">
        <v>33</v>
      </c>
      <c r="C4" s="3201" t="s">
        <v>34</v>
      </c>
      <c r="D4" s="2717" t="s">
        <v>360</v>
      </c>
      <c r="E4" s="2718"/>
      <c r="F4" s="2718"/>
      <c r="G4" s="2718"/>
      <c r="H4" s="2719"/>
      <c r="I4" s="2927"/>
      <c r="J4" s="2928"/>
      <c r="K4" s="2928"/>
      <c r="L4" s="2928"/>
      <c r="M4" s="2929"/>
      <c r="N4" s="2930" t="s">
        <v>214</v>
      </c>
      <c r="O4" s="2718"/>
      <c r="P4" s="2718"/>
      <c r="Q4" s="2718"/>
      <c r="R4" s="2718"/>
      <c r="S4" s="2719"/>
      <c r="T4" s="1289"/>
    </row>
    <row r="5" spans="1:71" ht="24" customHeight="1" x14ac:dyDescent="0.2">
      <c r="A5" s="3196"/>
      <c r="B5" s="3199"/>
      <c r="C5" s="3202"/>
      <c r="D5" s="2931" t="s">
        <v>0</v>
      </c>
      <c r="E5" s="2934" t="s">
        <v>215</v>
      </c>
      <c r="F5" s="2935" t="s">
        <v>216</v>
      </c>
      <c r="G5" s="2917" t="s">
        <v>349</v>
      </c>
      <c r="H5" s="2918"/>
      <c r="I5" s="2937" t="s">
        <v>0</v>
      </c>
      <c r="J5" s="2919" t="s">
        <v>215</v>
      </c>
      <c r="K5" s="2940" t="s">
        <v>216</v>
      </c>
      <c r="L5" s="2919" t="s">
        <v>308</v>
      </c>
      <c r="M5" s="2943" t="s">
        <v>304</v>
      </c>
      <c r="N5" s="2944" t="s">
        <v>217</v>
      </c>
      <c r="O5" s="2720" t="s">
        <v>359</v>
      </c>
      <c r="P5" s="2721"/>
      <c r="Q5" s="2721"/>
      <c r="R5" s="2788"/>
      <c r="S5" s="2945" t="s">
        <v>35</v>
      </c>
      <c r="T5" s="1290"/>
      <c r="U5" s="239"/>
      <c r="V5" s="239"/>
      <c r="W5" s="239"/>
      <c r="X5" s="239"/>
      <c r="Y5" s="239"/>
      <c r="Z5" s="239"/>
      <c r="AA5" s="239"/>
      <c r="AB5" s="239"/>
      <c r="AC5" s="239"/>
      <c r="AD5" s="239"/>
      <c r="AE5" s="239"/>
      <c r="AF5" s="239"/>
      <c r="AG5" s="239"/>
      <c r="AH5" s="239"/>
      <c r="AI5" s="239"/>
      <c r="AJ5" s="239"/>
      <c r="AK5" s="239"/>
      <c r="AL5" s="239"/>
      <c r="AM5" s="239"/>
      <c r="AN5" s="239"/>
      <c r="AO5" s="239"/>
      <c r="AP5" s="239"/>
      <c r="AQ5" s="239"/>
      <c r="AR5" s="239"/>
      <c r="AS5" s="239"/>
      <c r="AT5" s="239"/>
      <c r="AU5" s="239"/>
      <c r="AV5" s="239"/>
      <c r="AW5" s="239"/>
      <c r="AX5" s="239"/>
      <c r="AY5" s="239"/>
      <c r="AZ5" s="239"/>
      <c r="BA5" s="239"/>
      <c r="BB5" s="239"/>
      <c r="BC5" s="239"/>
      <c r="BD5" s="239"/>
      <c r="BE5" s="239"/>
      <c r="BF5" s="239"/>
      <c r="BG5" s="239"/>
      <c r="BH5" s="239"/>
      <c r="BI5" s="239"/>
      <c r="BJ5" s="239"/>
      <c r="BK5" s="239"/>
      <c r="BL5" s="239"/>
      <c r="BM5" s="239"/>
      <c r="BN5" s="239"/>
      <c r="BO5" s="239"/>
      <c r="BP5" s="239"/>
      <c r="BQ5" s="239"/>
      <c r="BR5" s="239"/>
      <c r="BS5" s="239"/>
    </row>
    <row r="6" spans="1:71" ht="41.25" customHeight="1" x14ac:dyDescent="0.2">
      <c r="A6" s="3196"/>
      <c r="B6" s="3199"/>
      <c r="C6" s="3202"/>
      <c r="D6" s="2932"/>
      <c r="E6" s="2932"/>
      <c r="F6" s="2935"/>
      <c r="G6" s="2753" t="s">
        <v>358</v>
      </c>
      <c r="H6" s="2761" t="s">
        <v>304</v>
      </c>
      <c r="I6" s="2938"/>
      <c r="J6" s="2920"/>
      <c r="K6" s="2941"/>
      <c r="L6" s="2920"/>
      <c r="M6" s="2733"/>
      <c r="N6" s="2753"/>
      <c r="O6" s="2753" t="s">
        <v>355</v>
      </c>
      <c r="P6" s="2753" t="s">
        <v>218</v>
      </c>
      <c r="Q6" s="2753" t="s">
        <v>356</v>
      </c>
      <c r="R6" s="2709" t="s">
        <v>219</v>
      </c>
      <c r="S6" s="2946"/>
      <c r="T6" s="1290"/>
      <c r="U6" s="239"/>
      <c r="V6" s="239"/>
      <c r="W6" s="239"/>
      <c r="X6" s="239"/>
      <c r="Y6" s="239"/>
      <c r="Z6" s="239"/>
      <c r="AA6" s="239"/>
      <c r="AB6" s="239"/>
      <c r="AC6" s="239"/>
      <c r="AD6" s="239"/>
      <c r="AE6" s="239"/>
      <c r="AF6" s="239"/>
      <c r="AG6" s="239"/>
      <c r="AH6" s="239"/>
      <c r="AI6" s="239"/>
      <c r="AJ6" s="239"/>
      <c r="AK6" s="239"/>
      <c r="AL6" s="239"/>
      <c r="AM6" s="239"/>
      <c r="AN6" s="239"/>
      <c r="AO6" s="239"/>
      <c r="AP6" s="239"/>
      <c r="AQ6" s="239"/>
      <c r="AR6" s="239"/>
      <c r="AS6" s="239"/>
      <c r="AT6" s="239"/>
      <c r="AU6" s="239"/>
      <c r="AV6" s="239"/>
      <c r="AW6" s="239"/>
      <c r="AX6" s="239"/>
      <c r="AY6" s="239"/>
      <c r="AZ6" s="239"/>
      <c r="BA6" s="239"/>
      <c r="BB6" s="239"/>
      <c r="BC6" s="239"/>
      <c r="BD6" s="239"/>
      <c r="BE6" s="239"/>
      <c r="BF6" s="239"/>
      <c r="BG6" s="239"/>
      <c r="BH6" s="239"/>
      <c r="BI6" s="239"/>
      <c r="BJ6" s="239"/>
      <c r="BK6" s="239"/>
      <c r="BL6" s="239"/>
      <c r="BM6" s="239"/>
      <c r="BN6" s="239"/>
      <c r="BO6" s="239"/>
      <c r="BP6" s="239"/>
      <c r="BQ6" s="239"/>
      <c r="BR6" s="239"/>
      <c r="BS6" s="239"/>
    </row>
    <row r="7" spans="1:71" ht="54" customHeight="1" thickBot="1" x14ac:dyDescent="0.25">
      <c r="A7" s="3197"/>
      <c r="B7" s="3200"/>
      <c r="C7" s="3203"/>
      <c r="D7" s="2933"/>
      <c r="E7" s="2933"/>
      <c r="F7" s="2936"/>
      <c r="G7" s="2755"/>
      <c r="H7" s="2762"/>
      <c r="I7" s="2939"/>
      <c r="J7" s="2921"/>
      <c r="K7" s="2942"/>
      <c r="L7" s="2921"/>
      <c r="M7" s="2735"/>
      <c r="N7" s="2755"/>
      <c r="O7" s="2755"/>
      <c r="P7" s="2755"/>
      <c r="Q7" s="2755"/>
      <c r="R7" s="2710"/>
      <c r="S7" s="2787"/>
      <c r="T7" s="1290"/>
      <c r="U7" s="239"/>
      <c r="V7" s="239"/>
      <c r="W7" s="239"/>
      <c r="X7" s="239"/>
      <c r="Y7" s="239"/>
      <c r="Z7" s="239"/>
      <c r="AA7" s="239"/>
      <c r="AB7" s="239"/>
      <c r="AC7" s="239"/>
      <c r="AD7" s="239"/>
      <c r="AE7" s="239"/>
      <c r="AF7" s="239"/>
      <c r="AG7" s="239"/>
      <c r="AH7" s="239"/>
      <c r="AI7" s="239"/>
      <c r="AJ7" s="239"/>
      <c r="AK7" s="239"/>
      <c r="AL7" s="239"/>
      <c r="AM7" s="239"/>
      <c r="AN7" s="239"/>
      <c r="AO7" s="239"/>
      <c r="AP7" s="239"/>
      <c r="AQ7" s="239"/>
      <c r="AR7" s="239"/>
      <c r="AS7" s="239"/>
      <c r="AT7" s="239"/>
      <c r="AU7" s="239"/>
      <c r="AV7" s="239"/>
      <c r="AW7" s="239"/>
      <c r="AX7" s="239"/>
      <c r="AY7" s="239"/>
      <c r="AZ7" s="239"/>
      <c r="BA7" s="239"/>
      <c r="BB7" s="239"/>
      <c r="BC7" s="239"/>
      <c r="BD7" s="239"/>
      <c r="BE7" s="239"/>
      <c r="BF7" s="239"/>
      <c r="BG7" s="239"/>
      <c r="BH7" s="239"/>
      <c r="BI7" s="239"/>
      <c r="BJ7" s="239"/>
      <c r="BK7" s="239"/>
      <c r="BL7" s="239"/>
      <c r="BM7" s="239"/>
      <c r="BN7" s="239"/>
      <c r="BO7" s="239"/>
      <c r="BP7" s="239"/>
      <c r="BQ7" s="239"/>
      <c r="BR7" s="239"/>
      <c r="BS7" s="239"/>
    </row>
    <row r="8" spans="1:71" ht="14.25" customHeight="1" thickBot="1" x14ac:dyDescent="0.25">
      <c r="A8" s="2084">
        <v>1</v>
      </c>
      <c r="B8" s="2085">
        <v>2</v>
      </c>
      <c r="C8" s="2086">
        <v>3</v>
      </c>
      <c r="D8" s="2084">
        <v>4</v>
      </c>
      <c r="E8" s="2085"/>
      <c r="F8" s="2087"/>
      <c r="G8" s="2087">
        <v>5</v>
      </c>
      <c r="H8" s="2088">
        <v>6</v>
      </c>
      <c r="I8" s="2089"/>
      <c r="J8" s="2087"/>
      <c r="K8" s="2087"/>
      <c r="L8" s="2087"/>
      <c r="M8" s="2088"/>
      <c r="N8" s="2087">
        <v>7</v>
      </c>
      <c r="O8" s="2087">
        <v>8</v>
      </c>
      <c r="P8" s="2087">
        <v>9</v>
      </c>
      <c r="Q8" s="2087">
        <v>10</v>
      </c>
      <c r="R8" s="2087">
        <v>14</v>
      </c>
      <c r="S8" s="260">
        <v>11</v>
      </c>
      <c r="T8" s="270"/>
      <c r="U8" s="239"/>
      <c r="V8" s="239"/>
      <c r="W8" s="239"/>
      <c r="X8" s="239"/>
      <c r="Y8" s="239"/>
      <c r="Z8" s="239"/>
      <c r="AA8" s="239"/>
      <c r="AB8" s="239"/>
      <c r="AC8" s="239"/>
      <c r="AD8" s="239"/>
      <c r="AE8" s="239"/>
      <c r="AF8" s="239"/>
      <c r="AG8" s="239"/>
      <c r="AH8" s="239"/>
      <c r="AI8" s="239"/>
      <c r="AJ8" s="239"/>
      <c r="AK8" s="239"/>
      <c r="AL8" s="239"/>
      <c r="AM8" s="239"/>
      <c r="AN8" s="239"/>
      <c r="AO8" s="239"/>
      <c r="AP8" s="239"/>
      <c r="AQ8" s="239"/>
      <c r="AR8" s="239"/>
      <c r="AS8" s="239"/>
      <c r="AT8" s="239"/>
      <c r="AU8" s="239"/>
      <c r="AV8" s="239"/>
      <c r="AW8" s="239"/>
      <c r="AX8" s="239"/>
      <c r="AY8" s="239"/>
      <c r="AZ8" s="239"/>
      <c r="BA8" s="239"/>
      <c r="BB8" s="239"/>
      <c r="BC8" s="239"/>
      <c r="BD8" s="239"/>
      <c r="BE8" s="239"/>
      <c r="BF8" s="239"/>
      <c r="BG8" s="239"/>
      <c r="BH8" s="239"/>
      <c r="BI8" s="239"/>
      <c r="BJ8" s="239"/>
      <c r="BK8" s="239"/>
      <c r="BL8" s="239"/>
      <c r="BM8" s="239"/>
      <c r="BN8" s="239"/>
      <c r="BO8" s="239"/>
      <c r="BP8" s="239"/>
      <c r="BQ8" s="239"/>
      <c r="BR8" s="239"/>
      <c r="BS8" s="239"/>
    </row>
    <row r="9" spans="1:71" ht="20.25" customHeight="1" thickBot="1" x14ac:dyDescent="0.25">
      <c r="A9" s="1958"/>
      <c r="B9" s="264" t="s">
        <v>220</v>
      </c>
      <c r="C9" s="509"/>
      <c r="D9" s="35">
        <f t="shared" ref="D9:H9" si="0">D10+D11</f>
        <v>276165589</v>
      </c>
      <c r="E9" s="36">
        <f t="shared" si="0"/>
        <v>127224102</v>
      </c>
      <c r="F9" s="36">
        <f t="shared" si="0"/>
        <v>60201672</v>
      </c>
      <c r="G9" s="36">
        <f t="shared" si="0"/>
        <v>40510827</v>
      </c>
      <c r="H9" s="37">
        <f t="shared" si="0"/>
        <v>48228988</v>
      </c>
      <c r="I9" s="35">
        <f t="shared" ref="I9:N9" si="1">I10+I11</f>
        <v>275755382.50999999</v>
      </c>
      <c r="J9" s="36">
        <f t="shared" si="1"/>
        <v>127224102</v>
      </c>
      <c r="K9" s="36">
        <f t="shared" si="1"/>
        <v>59791465.509999998</v>
      </c>
      <c r="L9" s="36">
        <f t="shared" si="1"/>
        <v>40510827</v>
      </c>
      <c r="M9" s="37">
        <f t="shared" si="1"/>
        <v>48228988</v>
      </c>
      <c r="N9" s="266">
        <f t="shared" si="1"/>
        <v>190833046.62</v>
      </c>
      <c r="O9" s="267">
        <f>N9/D9*100</f>
        <v>69.100950379447895</v>
      </c>
      <c r="P9" s="268">
        <f>P10+P11</f>
        <v>3817479.1100000003</v>
      </c>
      <c r="Q9" s="267">
        <f>P9/G9*100</f>
        <v>9.4233551687305717</v>
      </c>
      <c r="R9" s="1414">
        <f>+P9-L9*0.25</f>
        <v>-6310227.6399999997</v>
      </c>
      <c r="S9" s="269"/>
      <c r="T9" s="270"/>
      <c r="U9" s="239"/>
      <c r="V9" s="239"/>
      <c r="W9" s="239"/>
      <c r="X9" s="239"/>
      <c r="Y9" s="239"/>
      <c r="Z9" s="239"/>
      <c r="AA9" s="239"/>
      <c r="AB9" s="239"/>
      <c r="AC9" s="239"/>
      <c r="AD9" s="239"/>
      <c r="AE9" s="239"/>
      <c r="AF9" s="239"/>
      <c r="AG9" s="239"/>
      <c r="AH9" s="239"/>
      <c r="AI9" s="239"/>
      <c r="AJ9" s="239"/>
      <c r="AK9" s="239"/>
      <c r="AL9" s="239"/>
      <c r="AM9" s="239"/>
      <c r="AN9" s="239"/>
      <c r="AO9" s="239"/>
      <c r="AP9" s="239"/>
      <c r="AQ9" s="239"/>
      <c r="AR9" s="239"/>
      <c r="AS9" s="239"/>
      <c r="AT9" s="239"/>
      <c r="AU9" s="239"/>
      <c r="AV9" s="239"/>
      <c r="AW9" s="239"/>
      <c r="AX9" s="239"/>
      <c r="AY9" s="239"/>
      <c r="AZ9" s="239"/>
      <c r="BA9" s="239"/>
      <c r="BB9" s="239"/>
      <c r="BC9" s="239"/>
      <c r="BD9" s="239"/>
      <c r="BE9" s="239"/>
      <c r="BF9" s="239"/>
      <c r="BG9" s="239"/>
      <c r="BH9" s="239"/>
      <c r="BI9" s="239"/>
      <c r="BJ9" s="239"/>
      <c r="BK9" s="239"/>
      <c r="BL9" s="239"/>
      <c r="BM9" s="239"/>
      <c r="BN9" s="239"/>
      <c r="BO9" s="239"/>
      <c r="BP9" s="239"/>
      <c r="BQ9" s="239"/>
      <c r="BR9" s="239"/>
      <c r="BS9" s="239"/>
    </row>
    <row r="10" spans="1:71" s="522" customFormat="1" ht="19.5" customHeight="1" thickTop="1" x14ac:dyDescent="0.2">
      <c r="A10" s="2090"/>
      <c r="B10" s="513" t="s">
        <v>221</v>
      </c>
      <c r="C10" s="514"/>
      <c r="D10" s="47">
        <f t="shared" ref="D10:H10" si="2">D74+D188+D218</f>
        <v>43897325</v>
      </c>
      <c r="E10" s="2091">
        <f t="shared" si="2"/>
        <v>16206669</v>
      </c>
      <c r="F10" s="45">
        <f t="shared" si="2"/>
        <v>6729184</v>
      </c>
      <c r="G10" s="45">
        <f t="shared" si="2"/>
        <v>9391472</v>
      </c>
      <c r="H10" s="2092">
        <f t="shared" si="2"/>
        <v>11570000</v>
      </c>
      <c r="I10" s="47">
        <f t="shared" ref="I10:N10" si="3">I74+I188+I218</f>
        <v>43597176.719999999</v>
      </c>
      <c r="J10" s="2091">
        <f t="shared" si="3"/>
        <v>16206669</v>
      </c>
      <c r="K10" s="45">
        <f t="shared" si="3"/>
        <v>6429035.7199999997</v>
      </c>
      <c r="L10" s="45">
        <f t="shared" si="3"/>
        <v>9391472</v>
      </c>
      <c r="M10" s="2092">
        <f t="shared" si="3"/>
        <v>11570000</v>
      </c>
      <c r="N10" s="1767">
        <f t="shared" si="3"/>
        <v>24060979.719999999</v>
      </c>
      <c r="O10" s="2093">
        <f t="shared" ref="O10:O72" si="4">N10/D10*100</f>
        <v>54.811949748646413</v>
      </c>
      <c r="P10" s="2094">
        <f>P74+P188+P218</f>
        <v>1425275</v>
      </c>
      <c r="Q10" s="2093">
        <f t="shared" ref="Q10:Q70" si="5">P10/G10*100</f>
        <v>15.176268427356224</v>
      </c>
      <c r="R10" s="1417">
        <f>+P10-L10*0.25</f>
        <v>-922593</v>
      </c>
      <c r="S10" s="1297"/>
      <c r="T10" s="521"/>
      <c r="U10" s="250"/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0"/>
      <c r="BL10" s="250"/>
      <c r="BM10" s="250"/>
      <c r="BN10" s="250"/>
      <c r="BO10" s="250"/>
      <c r="BP10" s="250"/>
      <c r="BQ10" s="250"/>
      <c r="BR10" s="250"/>
      <c r="BS10" s="250"/>
    </row>
    <row r="11" spans="1:71" s="522" customFormat="1" ht="19.5" customHeight="1" thickBot="1" x14ac:dyDescent="0.25">
      <c r="A11" s="2090"/>
      <c r="B11" s="2095" t="s">
        <v>222</v>
      </c>
      <c r="C11" s="2096"/>
      <c r="D11" s="160">
        <f t="shared" ref="D11:H11" si="6">D34+D48+D61+D90+D106+D117+D128+D203</f>
        <v>232268264</v>
      </c>
      <c r="E11" s="2097">
        <f t="shared" si="6"/>
        <v>111017433</v>
      </c>
      <c r="F11" s="158">
        <f t="shared" si="6"/>
        <v>53472488</v>
      </c>
      <c r="G11" s="158">
        <f t="shared" si="6"/>
        <v>31119355</v>
      </c>
      <c r="H11" s="2098">
        <f t="shared" si="6"/>
        <v>36658988</v>
      </c>
      <c r="I11" s="160">
        <f t="shared" ref="I11:N11" si="7">I34+I48+I61+I90+I106+I117+I128+I203</f>
        <v>232158205.78999999</v>
      </c>
      <c r="J11" s="2097">
        <f t="shared" si="7"/>
        <v>111017433</v>
      </c>
      <c r="K11" s="158">
        <f t="shared" si="7"/>
        <v>53362429.789999999</v>
      </c>
      <c r="L11" s="158">
        <f t="shared" si="7"/>
        <v>31119355</v>
      </c>
      <c r="M11" s="2098">
        <f t="shared" si="7"/>
        <v>36658988</v>
      </c>
      <c r="N11" s="2099">
        <f t="shared" si="7"/>
        <v>166772066.90000001</v>
      </c>
      <c r="O11" s="290">
        <f t="shared" si="4"/>
        <v>71.801486792874996</v>
      </c>
      <c r="P11" s="2100">
        <f>P34+P48+P61+P90+P106+P117+P128+P203</f>
        <v>2392204.1100000003</v>
      </c>
      <c r="Q11" s="290">
        <f t="shared" si="5"/>
        <v>7.6871905282098556</v>
      </c>
      <c r="R11" s="2101">
        <f>+P11-L11*0.25</f>
        <v>-5387634.6399999997</v>
      </c>
      <c r="S11" s="1297"/>
      <c r="T11" s="521"/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0"/>
      <c r="AS11" s="250"/>
      <c r="AT11" s="250"/>
      <c r="AU11" s="250"/>
      <c r="AV11" s="250"/>
      <c r="AW11" s="250"/>
      <c r="AX11" s="250"/>
      <c r="AY11" s="250"/>
      <c r="AZ11" s="250"/>
      <c r="BA11" s="250"/>
      <c r="BB11" s="250"/>
      <c r="BC11" s="250"/>
      <c r="BD11" s="250"/>
      <c r="BE11" s="250"/>
      <c r="BF11" s="250"/>
      <c r="BG11" s="250"/>
      <c r="BH11" s="250"/>
      <c r="BI11" s="250"/>
      <c r="BJ11" s="250"/>
      <c r="BK11" s="250"/>
      <c r="BL11" s="250"/>
      <c r="BM11" s="250"/>
      <c r="BN11" s="250"/>
      <c r="BO11" s="250"/>
      <c r="BP11" s="250"/>
      <c r="BQ11" s="250"/>
      <c r="BR11" s="250"/>
      <c r="BS11" s="250"/>
    </row>
    <row r="12" spans="1:71" s="2114" customFormat="1" ht="16.5" customHeight="1" x14ac:dyDescent="0.2">
      <c r="A12" s="3204"/>
      <c r="B12" s="2102" t="s">
        <v>3</v>
      </c>
      <c r="C12" s="2103"/>
      <c r="D12" s="2104">
        <f>+D13+D18</f>
        <v>276165589</v>
      </c>
      <c r="E12" s="2105">
        <f t="shared" ref="E12:G12" si="8">+E13+E18</f>
        <v>127224102</v>
      </c>
      <c r="F12" s="2105">
        <f t="shared" si="8"/>
        <v>60201672</v>
      </c>
      <c r="G12" s="2105">
        <f t="shared" si="8"/>
        <v>40510827</v>
      </c>
      <c r="H12" s="2106">
        <f>+H13+H18</f>
        <v>48228988</v>
      </c>
      <c r="I12" s="2104">
        <f>+I13+I18</f>
        <v>275755382.50999999</v>
      </c>
      <c r="J12" s="2105">
        <f t="shared" ref="J12:L12" si="9">+J13+J18</f>
        <v>127224102</v>
      </c>
      <c r="K12" s="2105">
        <f t="shared" si="9"/>
        <v>59791465.50999999</v>
      </c>
      <c r="L12" s="2105">
        <f t="shared" si="9"/>
        <v>40510827</v>
      </c>
      <c r="M12" s="2106">
        <f>+M13+M18</f>
        <v>48228988</v>
      </c>
      <c r="N12" s="2107">
        <f>+N13+N18</f>
        <v>190833046.62</v>
      </c>
      <c r="O12" s="2108">
        <f t="shared" si="4"/>
        <v>69.100950379447895</v>
      </c>
      <c r="P12" s="2109">
        <f>+P13+P18</f>
        <v>3817479.1100000003</v>
      </c>
      <c r="Q12" s="2108">
        <f t="shared" si="5"/>
        <v>9.4233551687305717</v>
      </c>
      <c r="R12" s="2110">
        <f>+P12-L12*0.25</f>
        <v>-6310227.6399999997</v>
      </c>
      <c r="S12" s="3205"/>
      <c r="T12" s="2111">
        <f>J12+K12+P12-N12</f>
        <v>0</v>
      </c>
      <c r="U12" s="2112"/>
      <c r="V12" s="2112"/>
      <c r="W12" s="2112"/>
      <c r="X12" s="2113"/>
      <c r="Y12" s="2113"/>
      <c r="Z12" s="2113"/>
      <c r="AA12" s="2113"/>
      <c r="AB12" s="2113"/>
      <c r="AC12" s="2113"/>
      <c r="AD12" s="2113"/>
      <c r="AE12" s="2113"/>
      <c r="AF12" s="2113"/>
      <c r="AG12" s="2113"/>
      <c r="AH12" s="2113"/>
      <c r="AI12" s="2113"/>
      <c r="AJ12" s="2113"/>
      <c r="AK12" s="2113"/>
      <c r="AL12" s="2113"/>
      <c r="AM12" s="2113"/>
      <c r="AN12" s="2113"/>
      <c r="AO12" s="2113"/>
      <c r="AP12" s="2113"/>
      <c r="AQ12" s="2113"/>
      <c r="AR12" s="2113"/>
      <c r="AS12" s="2113"/>
      <c r="AT12" s="2113"/>
      <c r="AU12" s="2113"/>
      <c r="AV12" s="2113"/>
      <c r="AW12" s="2113"/>
      <c r="AX12" s="2113"/>
      <c r="AY12" s="2113"/>
      <c r="AZ12" s="2113"/>
      <c r="BA12" s="2113"/>
      <c r="BB12" s="2113"/>
      <c r="BC12" s="2113"/>
      <c r="BD12" s="2113"/>
      <c r="BE12" s="2113"/>
      <c r="BF12" s="2113"/>
      <c r="BG12" s="2113"/>
      <c r="BH12" s="2113"/>
      <c r="BI12" s="2113"/>
      <c r="BJ12" s="2113"/>
      <c r="BK12" s="2113"/>
      <c r="BL12" s="2113"/>
      <c r="BM12" s="2113"/>
      <c r="BN12" s="2113"/>
      <c r="BO12" s="2113"/>
      <c r="BP12" s="2113"/>
      <c r="BQ12" s="2113"/>
      <c r="BR12" s="2113"/>
      <c r="BS12" s="2113"/>
    </row>
    <row r="13" spans="1:71" s="2123" customFormat="1" ht="16.5" customHeight="1" x14ac:dyDescent="0.2">
      <c r="A13" s="3064"/>
      <c r="B13" s="2115" t="s">
        <v>4</v>
      </c>
      <c r="C13" s="3206"/>
      <c r="D13" s="2116">
        <f t="shared" ref="D13" si="10">SUM(D14:D17)</f>
        <v>110821250</v>
      </c>
      <c r="E13" s="2117">
        <f>SUM(E14:E17)</f>
        <v>50068452</v>
      </c>
      <c r="F13" s="2117">
        <f t="shared" ref="F13:H13" si="11">SUM(F14:F17)</f>
        <v>25682008</v>
      </c>
      <c r="G13" s="2117">
        <f t="shared" si="11"/>
        <v>18018205</v>
      </c>
      <c r="H13" s="2118">
        <f t="shared" si="11"/>
        <v>17052585</v>
      </c>
      <c r="I13" s="2116">
        <f t="shared" ref="I13:N13" si="12">SUM(I14:I17)</f>
        <v>110711928.94000001</v>
      </c>
      <c r="J13" s="2117">
        <f>SUM(J14:J17)</f>
        <v>50068452</v>
      </c>
      <c r="K13" s="2117">
        <f t="shared" si="12"/>
        <v>25572686.939999998</v>
      </c>
      <c r="L13" s="2117">
        <f t="shared" si="12"/>
        <v>18018205</v>
      </c>
      <c r="M13" s="2118">
        <f t="shared" si="12"/>
        <v>17052585</v>
      </c>
      <c r="N13" s="2119">
        <f t="shared" si="12"/>
        <v>76938315.979999989</v>
      </c>
      <c r="O13" s="2120">
        <f t="shared" si="4"/>
        <v>69.425598411856924</v>
      </c>
      <c r="P13" s="2121">
        <f>SUM(P14:P17)</f>
        <v>1297177.04</v>
      </c>
      <c r="Q13" s="2120">
        <f t="shared" si="5"/>
        <v>7.1992578617015397</v>
      </c>
      <c r="R13" s="2122">
        <f t="shared" ref="R13:R75" si="13">+P13-L13*0.25</f>
        <v>-3207374.21</v>
      </c>
      <c r="S13" s="2769"/>
      <c r="T13" s="2111">
        <f t="shared" ref="T13:T75" si="14">J13+K13+P13-N13</f>
        <v>0</v>
      </c>
      <c r="V13" s="2124"/>
    </row>
    <row r="14" spans="1:71" s="493" customFormat="1" ht="16.5" customHeight="1" x14ac:dyDescent="0.2">
      <c r="A14" s="3064"/>
      <c r="B14" s="557" t="s">
        <v>5</v>
      </c>
      <c r="C14" s="2964"/>
      <c r="D14" s="1311">
        <f t="shared" ref="D14:H14" si="15">D76+D92+D190+D205+D220</f>
        <v>2557409</v>
      </c>
      <c r="E14" s="1312">
        <f t="shared" si="15"/>
        <v>1595750</v>
      </c>
      <c r="F14" s="1312">
        <f t="shared" si="15"/>
        <v>101445</v>
      </c>
      <c r="G14" s="1312">
        <f t="shared" si="15"/>
        <v>390214</v>
      </c>
      <c r="H14" s="1313">
        <f t="shared" si="15"/>
        <v>470000</v>
      </c>
      <c r="I14" s="1311">
        <f t="shared" ref="I14:N14" si="16">I76+I92+I190+I205+I220</f>
        <v>2536117.1100000003</v>
      </c>
      <c r="J14" s="1312">
        <f t="shared" si="16"/>
        <v>1595750</v>
      </c>
      <c r="K14" s="1312">
        <f t="shared" si="16"/>
        <v>80153.11</v>
      </c>
      <c r="L14" s="1312">
        <f t="shared" si="16"/>
        <v>390214</v>
      </c>
      <c r="M14" s="1313">
        <f t="shared" si="16"/>
        <v>470000</v>
      </c>
      <c r="N14" s="2125">
        <f t="shared" si="16"/>
        <v>1686297.11</v>
      </c>
      <c r="O14" s="2126">
        <f t="shared" si="4"/>
        <v>65.937717040958262</v>
      </c>
      <c r="P14" s="1312">
        <f>P76+P92+P190+P205+P220</f>
        <v>10394</v>
      </c>
      <c r="Q14" s="2126">
        <f t="shared" si="5"/>
        <v>2.6636666034534895</v>
      </c>
      <c r="R14" s="2127">
        <f t="shared" si="13"/>
        <v>-87159.5</v>
      </c>
      <c r="S14" s="2769"/>
      <c r="T14" s="493">
        <f t="shared" si="14"/>
        <v>0</v>
      </c>
    </row>
    <row r="15" spans="1:71" s="493" customFormat="1" ht="16.5" customHeight="1" outlineLevel="1" x14ac:dyDescent="0.2">
      <c r="A15" s="3064"/>
      <c r="B15" s="557" t="s">
        <v>8</v>
      </c>
      <c r="C15" s="2964"/>
      <c r="D15" s="1311">
        <f t="shared" ref="D15:H15" si="17">+D37+D51+D64+D77+D93</f>
        <v>33240994</v>
      </c>
      <c r="E15" s="1312">
        <f t="shared" si="17"/>
        <v>19455223</v>
      </c>
      <c r="F15" s="1312">
        <f t="shared" si="17"/>
        <v>8995820</v>
      </c>
      <c r="G15" s="1312">
        <f t="shared" si="17"/>
        <v>4139951</v>
      </c>
      <c r="H15" s="1313">
        <f t="shared" si="17"/>
        <v>650000</v>
      </c>
      <c r="I15" s="1311">
        <f t="shared" ref="I15:N15" si="18">+I37+I51+I64+I77+I93</f>
        <v>33191121.099999998</v>
      </c>
      <c r="J15" s="1312">
        <f t="shared" si="18"/>
        <v>19455223</v>
      </c>
      <c r="K15" s="1312">
        <f t="shared" si="18"/>
        <v>8945947.0999999996</v>
      </c>
      <c r="L15" s="1312">
        <f t="shared" si="18"/>
        <v>4139951</v>
      </c>
      <c r="M15" s="1313">
        <f t="shared" si="18"/>
        <v>650000</v>
      </c>
      <c r="N15" s="2125">
        <f t="shared" si="18"/>
        <v>28482421.099999998</v>
      </c>
      <c r="O15" s="2126">
        <f t="shared" si="4"/>
        <v>85.684625134856077</v>
      </c>
      <c r="P15" s="1312">
        <f>+P37+P51+P64+P77+P93</f>
        <v>81251</v>
      </c>
      <c r="Q15" s="2126">
        <f t="shared" si="5"/>
        <v>1.9626077699953455</v>
      </c>
      <c r="R15" s="2127">
        <f t="shared" si="13"/>
        <v>-953736.75</v>
      </c>
      <c r="S15" s="2769"/>
      <c r="T15" s="493">
        <f t="shared" si="14"/>
        <v>0</v>
      </c>
    </row>
    <row r="16" spans="1:71" s="493" customFormat="1" ht="16.5" customHeight="1" outlineLevel="1" x14ac:dyDescent="0.2">
      <c r="A16" s="3064"/>
      <c r="B16" s="557" t="s">
        <v>9</v>
      </c>
      <c r="C16" s="2964"/>
      <c r="D16" s="1311">
        <f t="shared" ref="D16:H16" si="19">+D130+D145+D191+D206+D78+D94</f>
        <v>58470603</v>
      </c>
      <c r="E16" s="1312">
        <f t="shared" si="19"/>
        <v>29017479</v>
      </c>
      <c r="F16" s="1312">
        <f t="shared" si="19"/>
        <v>12782966</v>
      </c>
      <c r="G16" s="1312">
        <f t="shared" si="19"/>
        <v>8452000</v>
      </c>
      <c r="H16" s="1313">
        <f t="shared" si="19"/>
        <v>8218158</v>
      </c>
      <c r="I16" s="1311">
        <f t="shared" ref="I16:P16" si="20">+I130+I145+I191+I206+I78+I94</f>
        <v>58432446.870000005</v>
      </c>
      <c r="J16" s="1312">
        <f t="shared" si="20"/>
        <v>29017479</v>
      </c>
      <c r="K16" s="1312">
        <f t="shared" si="20"/>
        <v>12744809.870000001</v>
      </c>
      <c r="L16" s="1312">
        <f t="shared" si="20"/>
        <v>8452000</v>
      </c>
      <c r="M16" s="1313">
        <f t="shared" si="20"/>
        <v>8218158</v>
      </c>
      <c r="N16" s="2125">
        <f t="shared" si="20"/>
        <v>42967820.909999996</v>
      </c>
      <c r="O16" s="2126">
        <f t="shared" si="4"/>
        <v>73.486194267570653</v>
      </c>
      <c r="P16" s="1312">
        <f t="shared" si="20"/>
        <v>1205532.04</v>
      </c>
      <c r="Q16" s="2126">
        <f t="shared" si="5"/>
        <v>14.263275437766209</v>
      </c>
      <c r="R16" s="2127">
        <f t="shared" si="13"/>
        <v>-907467.96</v>
      </c>
      <c r="S16" s="2769"/>
      <c r="T16" s="493">
        <f t="shared" si="14"/>
        <v>0</v>
      </c>
    </row>
    <row r="17" spans="1:23" s="493" customFormat="1" ht="16.5" customHeight="1" outlineLevel="1" x14ac:dyDescent="0.2">
      <c r="A17" s="3064"/>
      <c r="B17" s="557" t="s">
        <v>37</v>
      </c>
      <c r="C17" s="2964"/>
      <c r="D17" s="1311">
        <f t="shared" ref="D17:H17" si="21">+D108+D119</f>
        <v>16552244</v>
      </c>
      <c r="E17" s="1312">
        <f t="shared" si="21"/>
        <v>0</v>
      </c>
      <c r="F17" s="1312">
        <f t="shared" si="21"/>
        <v>3801777</v>
      </c>
      <c r="G17" s="1312">
        <f t="shared" si="21"/>
        <v>5036040</v>
      </c>
      <c r="H17" s="1313">
        <f t="shared" si="21"/>
        <v>7714427</v>
      </c>
      <c r="I17" s="1311">
        <f t="shared" ref="I17:N17" si="22">+I108+I119</f>
        <v>16552243.859999999</v>
      </c>
      <c r="J17" s="1312">
        <f t="shared" si="22"/>
        <v>0</v>
      </c>
      <c r="K17" s="1312">
        <f t="shared" si="22"/>
        <v>3801776.86</v>
      </c>
      <c r="L17" s="1312">
        <f t="shared" si="22"/>
        <v>5036040</v>
      </c>
      <c r="M17" s="1313">
        <f t="shared" si="22"/>
        <v>7714427</v>
      </c>
      <c r="N17" s="2125">
        <f t="shared" si="22"/>
        <v>3801776.86</v>
      </c>
      <c r="O17" s="2126">
        <f t="shared" si="4"/>
        <v>22.968347131663837</v>
      </c>
      <c r="P17" s="1312">
        <f>+P108+P119</f>
        <v>0</v>
      </c>
      <c r="Q17" s="2126">
        <f t="shared" si="5"/>
        <v>0</v>
      </c>
      <c r="R17" s="2127">
        <f t="shared" si="13"/>
        <v>-1259010</v>
      </c>
      <c r="S17" s="2769"/>
      <c r="T17" s="493">
        <f t="shared" si="14"/>
        <v>0</v>
      </c>
    </row>
    <row r="18" spans="1:23" s="252" customFormat="1" ht="16.5" customHeight="1" outlineLevel="1" x14ac:dyDescent="0.2">
      <c r="A18" s="3064"/>
      <c r="B18" s="2128" t="s">
        <v>13</v>
      </c>
      <c r="C18" s="2964"/>
      <c r="D18" s="2129">
        <f t="shared" ref="D18" si="23">+D20+D21+D22+D19</f>
        <v>165344339</v>
      </c>
      <c r="E18" s="2130">
        <f>+E20+E21+E22+E19</f>
        <v>77155650</v>
      </c>
      <c r="F18" s="2130">
        <f t="shared" ref="F18:H18" si="24">+F20+F21+F22+F19</f>
        <v>34519664</v>
      </c>
      <c r="G18" s="2130">
        <f t="shared" si="24"/>
        <v>22492622</v>
      </c>
      <c r="H18" s="2131">
        <f t="shared" si="24"/>
        <v>31176403</v>
      </c>
      <c r="I18" s="2129">
        <f t="shared" ref="I18:P18" si="25">+I20+I21+I22+I19</f>
        <v>165043453.56999999</v>
      </c>
      <c r="J18" s="2130">
        <f>+J20+J21+J22+J19</f>
        <v>77155650</v>
      </c>
      <c r="K18" s="2130">
        <f t="shared" si="25"/>
        <v>34218778.569999993</v>
      </c>
      <c r="L18" s="2130">
        <f>+L20+L21+L22+L19</f>
        <v>22492622</v>
      </c>
      <c r="M18" s="2131">
        <f t="shared" si="25"/>
        <v>31176403</v>
      </c>
      <c r="N18" s="2132">
        <f t="shared" si="25"/>
        <v>113894730.64000002</v>
      </c>
      <c r="O18" s="545">
        <f t="shared" si="4"/>
        <v>68.883356593176146</v>
      </c>
      <c r="P18" s="2133">
        <f t="shared" si="25"/>
        <v>2520302.0700000003</v>
      </c>
      <c r="Q18" s="545">
        <f t="shared" si="5"/>
        <v>11.205016782836614</v>
      </c>
      <c r="R18" s="2134">
        <f t="shared" si="13"/>
        <v>-3102853.4299999997</v>
      </c>
      <c r="S18" s="2769"/>
      <c r="T18" s="537">
        <f>J18+K18+P18-N18</f>
        <v>0</v>
      </c>
    </row>
    <row r="19" spans="1:23" s="252" customFormat="1" ht="16.5" customHeight="1" outlineLevel="1" x14ac:dyDescent="0.2">
      <c r="A19" s="3064"/>
      <c r="B19" s="557" t="s">
        <v>5</v>
      </c>
      <c r="C19" s="2964"/>
      <c r="D19" s="1311">
        <f t="shared" ref="D19:H19" si="26">D193+D208</f>
        <v>4156816</v>
      </c>
      <c r="E19" s="1312">
        <f t="shared" si="26"/>
        <v>4156816</v>
      </c>
      <c r="F19" s="1312">
        <f t="shared" si="26"/>
        <v>0</v>
      </c>
      <c r="G19" s="2135">
        <f t="shared" si="26"/>
        <v>0</v>
      </c>
      <c r="H19" s="2136">
        <f t="shared" si="26"/>
        <v>0</v>
      </c>
      <c r="I19" s="1311">
        <f t="shared" ref="I19:N19" si="27">I193+I208</f>
        <v>4156816</v>
      </c>
      <c r="J19" s="1312">
        <f t="shared" si="27"/>
        <v>4156816</v>
      </c>
      <c r="K19" s="1312">
        <f t="shared" si="27"/>
        <v>0</v>
      </c>
      <c r="L19" s="1312">
        <f t="shared" si="27"/>
        <v>0</v>
      </c>
      <c r="M19" s="1313">
        <f t="shared" si="27"/>
        <v>0</v>
      </c>
      <c r="N19" s="2125">
        <f t="shared" si="27"/>
        <v>4156816</v>
      </c>
      <c r="O19" s="2126">
        <f t="shared" si="4"/>
        <v>100</v>
      </c>
      <c r="P19" s="1312"/>
      <c r="Q19" s="2126">
        <v>0</v>
      </c>
      <c r="R19" s="2127">
        <f t="shared" si="13"/>
        <v>0</v>
      </c>
      <c r="S19" s="2769"/>
      <c r="T19" s="493">
        <f t="shared" si="14"/>
        <v>0</v>
      </c>
    </row>
    <row r="20" spans="1:23" s="493" customFormat="1" ht="16.5" customHeight="1" outlineLevel="1" x14ac:dyDescent="0.2">
      <c r="A20" s="3064"/>
      <c r="B20" s="557" t="s">
        <v>15</v>
      </c>
      <c r="C20" s="2964"/>
      <c r="D20" s="1311">
        <f t="shared" ref="D20:H20" si="28">+D39+D53+D66+D132+D80+D96+D222</f>
        <v>95568608</v>
      </c>
      <c r="E20" s="1312">
        <f t="shared" si="28"/>
        <v>41084590</v>
      </c>
      <c r="F20" s="1312">
        <f t="shared" si="28"/>
        <v>28357370</v>
      </c>
      <c r="G20" s="1312">
        <f t="shared" si="28"/>
        <v>15561821</v>
      </c>
      <c r="H20" s="1313">
        <f t="shared" si="28"/>
        <v>10564827</v>
      </c>
      <c r="I20" s="1311">
        <f>+I39+I53+I66+I132+I80+I96+I222</f>
        <v>95488487.719999999</v>
      </c>
      <c r="J20" s="1312">
        <f>+J39+J53+J66+J132+J80+J96+J222</f>
        <v>41084590</v>
      </c>
      <c r="K20" s="1312">
        <f>+K39+K53+K66+K132+K80+K96+K222</f>
        <v>28277249.719999995</v>
      </c>
      <c r="L20" s="1312">
        <f t="shared" ref="L20:M20" si="29">+L39+L53+L66+L132+L80+L96+L222</f>
        <v>15561821</v>
      </c>
      <c r="M20" s="1313">
        <f t="shared" si="29"/>
        <v>10564827</v>
      </c>
      <c r="N20" s="1311">
        <f>+N39+N53+N66+N132+N80+N96+N222</f>
        <v>71040364.670000017</v>
      </c>
      <c r="O20" s="2126">
        <f t="shared" si="4"/>
        <v>74.334413942703875</v>
      </c>
      <c r="P20" s="1312">
        <f>+P39+P53+P66+P132+P80+P96+P222</f>
        <v>1678524.95</v>
      </c>
      <c r="Q20" s="2126">
        <f t="shared" si="5"/>
        <v>10.786173096323367</v>
      </c>
      <c r="R20" s="2127">
        <f t="shared" si="13"/>
        <v>-2211930.2999999998</v>
      </c>
      <c r="S20" s="2769"/>
      <c r="T20" s="537">
        <f>J20+K20+P20-N20</f>
        <v>0</v>
      </c>
    </row>
    <row r="21" spans="1:23" s="493" customFormat="1" ht="16.5" customHeight="1" outlineLevel="1" x14ac:dyDescent="0.2">
      <c r="A21" s="3064"/>
      <c r="B21" s="557" t="s">
        <v>9</v>
      </c>
      <c r="C21" s="2964"/>
      <c r="D21" s="1311">
        <f t="shared" ref="D21:H21" si="30">+D133+D147+D194+D209+D81+D97</f>
        <v>47227515</v>
      </c>
      <c r="E21" s="1312">
        <f t="shared" si="30"/>
        <v>31284995</v>
      </c>
      <c r="F21" s="1312">
        <f t="shared" si="30"/>
        <v>3867520</v>
      </c>
      <c r="G21" s="1312">
        <f t="shared" si="30"/>
        <v>5700000</v>
      </c>
      <c r="H21" s="1313">
        <f t="shared" si="30"/>
        <v>6375000</v>
      </c>
      <c r="I21" s="1311">
        <f t="shared" ref="I21:M21" si="31">+I133+I147+I194+I209+I81+I97</f>
        <v>47113207.549999997</v>
      </c>
      <c r="J21" s="1312">
        <f t="shared" si="31"/>
        <v>31284995</v>
      </c>
      <c r="K21" s="1312">
        <f t="shared" si="31"/>
        <v>3753212.55</v>
      </c>
      <c r="L21" s="1312">
        <f t="shared" si="31"/>
        <v>5700000</v>
      </c>
      <c r="M21" s="1313">
        <f t="shared" si="31"/>
        <v>6375000</v>
      </c>
      <c r="N21" s="2125">
        <f>+N133+N147+N194+N209+N81+N97</f>
        <v>35870090.549999997</v>
      </c>
      <c r="O21" s="2126">
        <f t="shared" si="4"/>
        <v>75.951678910059101</v>
      </c>
      <c r="P21" s="1312">
        <f>+P133+P147+P194+P209+P81+P97</f>
        <v>831883</v>
      </c>
      <c r="Q21" s="2126">
        <f t="shared" si="5"/>
        <v>14.594438596491226</v>
      </c>
      <c r="R21" s="2127">
        <f t="shared" si="13"/>
        <v>-593117</v>
      </c>
      <c r="S21" s="2769"/>
      <c r="T21" s="493">
        <f t="shared" si="14"/>
        <v>0</v>
      </c>
    </row>
    <row r="22" spans="1:23" s="493" customFormat="1" ht="16.5" customHeight="1" outlineLevel="1" x14ac:dyDescent="0.2">
      <c r="A22" s="3064"/>
      <c r="B22" s="557" t="s">
        <v>14</v>
      </c>
      <c r="C22" s="3207"/>
      <c r="D22" s="1311">
        <f t="shared" ref="D22:H22" si="32">+D110+D121</f>
        <v>18391400</v>
      </c>
      <c r="E22" s="1312">
        <f t="shared" si="32"/>
        <v>629249</v>
      </c>
      <c r="F22" s="1312">
        <f t="shared" si="32"/>
        <v>2294774</v>
      </c>
      <c r="G22" s="1312">
        <f t="shared" si="32"/>
        <v>1230801</v>
      </c>
      <c r="H22" s="1313">
        <f t="shared" si="32"/>
        <v>14236576</v>
      </c>
      <c r="I22" s="1311">
        <f t="shared" ref="I22:N22" si="33">+I110+I121</f>
        <v>18284942.300000001</v>
      </c>
      <c r="J22" s="1312">
        <f t="shared" si="33"/>
        <v>629249</v>
      </c>
      <c r="K22" s="1312">
        <f t="shared" si="33"/>
        <v>2188316.2999999998</v>
      </c>
      <c r="L22" s="1312">
        <f t="shared" si="33"/>
        <v>1230801</v>
      </c>
      <c r="M22" s="1313">
        <f t="shared" si="33"/>
        <v>14236576</v>
      </c>
      <c r="N22" s="2125">
        <f t="shared" si="33"/>
        <v>2827459.42</v>
      </c>
      <c r="O22" s="2126">
        <f t="shared" si="4"/>
        <v>15.373812869058364</v>
      </c>
      <c r="P22" s="1312">
        <f>+P110+P121</f>
        <v>9894.119999999999</v>
      </c>
      <c r="Q22" s="2126">
        <f t="shared" si="5"/>
        <v>0.80387649993784538</v>
      </c>
      <c r="R22" s="2127">
        <f t="shared" si="13"/>
        <v>-297806.13</v>
      </c>
      <c r="S22" s="2769"/>
      <c r="T22" s="493">
        <f t="shared" si="14"/>
        <v>0</v>
      </c>
    </row>
    <row r="23" spans="1:23" s="252" customFormat="1" ht="16.5" customHeight="1" outlineLevel="1" x14ac:dyDescent="0.2">
      <c r="A23" s="3064"/>
      <c r="B23" s="683" t="s">
        <v>17</v>
      </c>
      <c r="C23" s="2137"/>
      <c r="D23" s="2138">
        <f t="shared" ref="D23" si="34">+D24+D29</f>
        <v>274911846</v>
      </c>
      <c r="E23" s="2139">
        <f>+E24+E29</f>
        <v>132414005</v>
      </c>
      <c r="F23" s="2139">
        <f>+F24+F29</f>
        <v>59643584</v>
      </c>
      <c r="G23" s="2139">
        <f>+G24+G29</f>
        <v>38887637</v>
      </c>
      <c r="H23" s="2140">
        <f>+H24+H29</f>
        <v>43966620</v>
      </c>
      <c r="I23" s="2138">
        <f t="shared" ref="I23" si="35">+I24+I29</f>
        <v>275334218.06</v>
      </c>
      <c r="J23" s="2139">
        <f>+J24+J29</f>
        <v>132414005</v>
      </c>
      <c r="K23" s="2139">
        <f>+K24+K29</f>
        <v>60065956.060000002</v>
      </c>
      <c r="L23" s="2139">
        <f>+L24+L29</f>
        <v>38887637</v>
      </c>
      <c r="M23" s="2140">
        <f>+M24+M29</f>
        <v>43966620</v>
      </c>
      <c r="N23" s="2141">
        <f>+N24+N29</f>
        <v>196954068.06</v>
      </c>
      <c r="O23" s="2142">
        <f t="shared" si="4"/>
        <v>71.642626873197742</v>
      </c>
      <c r="P23" s="2143">
        <f>+P24+P29</f>
        <v>4474107</v>
      </c>
      <c r="Q23" s="2142">
        <f t="shared" si="5"/>
        <v>11.50521694079792</v>
      </c>
      <c r="R23" s="2144">
        <f t="shared" si="13"/>
        <v>-5247802.25</v>
      </c>
      <c r="S23" s="2769"/>
      <c r="T23" s="2111">
        <f t="shared" si="14"/>
        <v>0</v>
      </c>
      <c r="U23" s="2145"/>
      <c r="W23" s="2145"/>
    </row>
    <row r="24" spans="1:23" s="252" customFormat="1" ht="16.5" customHeight="1" outlineLevel="1" x14ac:dyDescent="0.2">
      <c r="A24" s="3064"/>
      <c r="B24" s="2146" t="s">
        <v>4</v>
      </c>
      <c r="C24" s="3206"/>
      <c r="D24" s="2129">
        <f t="shared" ref="D24:H24" si="36">SUM(D25:D28)</f>
        <v>109567507</v>
      </c>
      <c r="E24" s="2147">
        <f t="shared" si="36"/>
        <v>50420500</v>
      </c>
      <c r="F24" s="2147">
        <f t="shared" si="36"/>
        <v>24936431</v>
      </c>
      <c r="G24" s="2147">
        <f t="shared" si="36"/>
        <v>17627991</v>
      </c>
      <c r="H24" s="2148">
        <f t="shared" si="36"/>
        <v>16582585</v>
      </c>
      <c r="I24" s="2129">
        <f t="shared" ref="I24:N24" si="37">SUM(I25:I28)</f>
        <v>109656292.14</v>
      </c>
      <c r="J24" s="2147">
        <f t="shared" si="37"/>
        <v>50420500</v>
      </c>
      <c r="K24" s="2147">
        <f t="shared" si="37"/>
        <v>25025216.140000001</v>
      </c>
      <c r="L24" s="2147">
        <f t="shared" si="37"/>
        <v>17627991</v>
      </c>
      <c r="M24" s="2148">
        <f t="shared" si="37"/>
        <v>16582585</v>
      </c>
      <c r="N24" s="2132">
        <f t="shared" si="37"/>
        <v>76903508.140000001</v>
      </c>
      <c r="O24" s="2149">
        <f t="shared" si="4"/>
        <v>70.188243071004621</v>
      </c>
      <c r="P24" s="2150">
        <f>SUM(P25:P28)</f>
        <v>1457792</v>
      </c>
      <c r="Q24" s="2149">
        <f t="shared" si="5"/>
        <v>8.2697568883487627</v>
      </c>
      <c r="R24" s="2151">
        <f t="shared" si="13"/>
        <v>-2949205.75</v>
      </c>
      <c r="S24" s="2769"/>
      <c r="T24" s="2111">
        <f t="shared" si="14"/>
        <v>0</v>
      </c>
      <c r="U24" s="2145"/>
      <c r="W24" s="2145"/>
    </row>
    <row r="25" spans="1:23" s="493" customFormat="1" ht="16.5" customHeight="1" outlineLevel="1" x14ac:dyDescent="0.2">
      <c r="A25" s="3064"/>
      <c r="B25" s="557" t="s">
        <v>8</v>
      </c>
      <c r="C25" s="2964"/>
      <c r="D25" s="1311">
        <f t="shared" ref="D25:H25" si="38">+D42+D56+D69+D84+D100</f>
        <v>33240994</v>
      </c>
      <c r="E25" s="1312">
        <f t="shared" si="38"/>
        <v>20379355</v>
      </c>
      <c r="F25" s="1312">
        <f t="shared" si="38"/>
        <v>8071688</v>
      </c>
      <c r="G25" s="1312">
        <f t="shared" si="38"/>
        <v>4139951</v>
      </c>
      <c r="H25" s="1313">
        <f t="shared" si="38"/>
        <v>650000</v>
      </c>
      <c r="I25" s="1311">
        <f t="shared" ref="I25:N25" si="39">+I42+I56+I69+I84+I100</f>
        <v>33191121.25</v>
      </c>
      <c r="J25" s="1312">
        <f t="shared" si="39"/>
        <v>20379355</v>
      </c>
      <c r="K25" s="1312">
        <f t="shared" si="39"/>
        <v>8021815.25</v>
      </c>
      <c r="L25" s="1312">
        <f t="shared" si="39"/>
        <v>4139951</v>
      </c>
      <c r="M25" s="1313">
        <f t="shared" si="39"/>
        <v>650000</v>
      </c>
      <c r="N25" s="2125">
        <f t="shared" si="39"/>
        <v>28498026.25</v>
      </c>
      <c r="O25" s="2126">
        <f t="shared" si="4"/>
        <v>85.731570632334268</v>
      </c>
      <c r="P25" s="1312">
        <f>+P42+P56+P69+P84+P100</f>
        <v>96856</v>
      </c>
      <c r="Q25" s="2126">
        <f t="shared" si="5"/>
        <v>2.3395445984747165</v>
      </c>
      <c r="R25" s="2152">
        <f t="shared" si="13"/>
        <v>-938131.75</v>
      </c>
      <c r="S25" s="2769"/>
      <c r="T25" s="2111">
        <f t="shared" si="14"/>
        <v>0</v>
      </c>
    </row>
    <row r="26" spans="1:23" s="493" customFormat="1" ht="16.5" customHeight="1" outlineLevel="1" x14ac:dyDescent="0.2">
      <c r="A26" s="3064"/>
      <c r="B26" s="557" t="s">
        <v>9</v>
      </c>
      <c r="C26" s="2964"/>
      <c r="D26" s="1311">
        <f t="shared" ref="D26" si="40">+D136+D150+D85+D101+D197+D212</f>
        <v>58470603</v>
      </c>
      <c r="E26" s="1312">
        <f>+E136+E150+E85+E101+E197+E212</f>
        <v>29017479</v>
      </c>
      <c r="F26" s="1312">
        <f t="shared" ref="F26:H26" si="41">+F136+F150+F85+F101+F197+F212</f>
        <v>12782966</v>
      </c>
      <c r="G26" s="1312">
        <f t="shared" si="41"/>
        <v>8452000</v>
      </c>
      <c r="H26" s="1313">
        <f t="shared" si="41"/>
        <v>8218158</v>
      </c>
      <c r="I26" s="1311">
        <f t="shared" ref="I26:P26" si="42">+I136+I150+I85+I101+I197+I212</f>
        <v>58432447.890000001</v>
      </c>
      <c r="J26" s="1312">
        <f>+J136+J150+J85+J101+J197+J212</f>
        <v>29017479</v>
      </c>
      <c r="K26" s="1312">
        <f t="shared" si="42"/>
        <v>12744810.890000001</v>
      </c>
      <c r="L26" s="1312">
        <f t="shared" si="42"/>
        <v>8452000</v>
      </c>
      <c r="M26" s="1313">
        <f t="shared" si="42"/>
        <v>8218158</v>
      </c>
      <c r="N26" s="2125">
        <f t="shared" si="42"/>
        <v>43090525.890000001</v>
      </c>
      <c r="O26" s="2126">
        <f t="shared" si="4"/>
        <v>73.696051826248492</v>
      </c>
      <c r="P26" s="1312">
        <f t="shared" si="42"/>
        <v>1328236</v>
      </c>
      <c r="Q26" s="2126">
        <f t="shared" si="5"/>
        <v>15.7150496923805</v>
      </c>
      <c r="R26" s="2152">
        <f t="shared" si="13"/>
        <v>-784764</v>
      </c>
      <c r="S26" s="2769"/>
      <c r="T26" s="2111">
        <f t="shared" si="14"/>
        <v>0</v>
      </c>
    </row>
    <row r="27" spans="1:23" s="493" customFormat="1" ht="16.5" customHeight="1" outlineLevel="1" x14ac:dyDescent="0.2">
      <c r="A27" s="3064"/>
      <c r="B27" s="557" t="s">
        <v>37</v>
      </c>
      <c r="C27" s="2964"/>
      <c r="D27" s="1311">
        <f t="shared" ref="D27:H27" si="43">+D113+D124</f>
        <v>16552244</v>
      </c>
      <c r="E27" s="1312">
        <f t="shared" si="43"/>
        <v>0</v>
      </c>
      <c r="F27" s="1312">
        <f t="shared" si="43"/>
        <v>3801777</v>
      </c>
      <c r="G27" s="1312">
        <f t="shared" si="43"/>
        <v>5036040</v>
      </c>
      <c r="H27" s="1313">
        <f t="shared" si="43"/>
        <v>7714427</v>
      </c>
      <c r="I27" s="1311">
        <f t="shared" ref="I27:M27" si="44">+I113+I124</f>
        <v>16552244</v>
      </c>
      <c r="J27" s="1312">
        <f t="shared" si="44"/>
        <v>0</v>
      </c>
      <c r="K27" s="1312">
        <f t="shared" si="44"/>
        <v>3801777</v>
      </c>
      <c r="L27" s="1312">
        <f t="shared" si="44"/>
        <v>5036040</v>
      </c>
      <c r="M27" s="1313">
        <f t="shared" si="44"/>
        <v>7714427</v>
      </c>
      <c r="N27" s="2125">
        <f>+N113+N124</f>
        <v>3801777</v>
      </c>
      <c r="O27" s="2126">
        <f t="shared" si="4"/>
        <v>22.968347977470607</v>
      </c>
      <c r="P27" s="1312">
        <f>+P113+P124</f>
        <v>0</v>
      </c>
      <c r="Q27" s="2126">
        <f t="shared" si="5"/>
        <v>0</v>
      </c>
      <c r="R27" s="2152">
        <f t="shared" si="13"/>
        <v>-1259010</v>
      </c>
      <c r="S27" s="2769"/>
      <c r="T27" s="2111">
        <f t="shared" si="14"/>
        <v>0</v>
      </c>
    </row>
    <row r="28" spans="1:23" s="493" customFormat="1" ht="16.5" customHeight="1" outlineLevel="1" x14ac:dyDescent="0.2">
      <c r="A28" s="3064"/>
      <c r="B28" s="557" t="s">
        <v>223</v>
      </c>
      <c r="C28" s="2964"/>
      <c r="D28" s="1311">
        <f t="shared" ref="D28:H28" si="45">D198</f>
        <v>1303666</v>
      </c>
      <c r="E28" s="1312">
        <f t="shared" si="45"/>
        <v>1023666</v>
      </c>
      <c r="F28" s="1312">
        <f t="shared" si="45"/>
        <v>280000</v>
      </c>
      <c r="G28" s="2135">
        <f t="shared" si="45"/>
        <v>0</v>
      </c>
      <c r="H28" s="2136">
        <f t="shared" si="45"/>
        <v>0</v>
      </c>
      <c r="I28" s="1311">
        <f t="shared" ref="I28:P28" si="46">I198</f>
        <v>1480479</v>
      </c>
      <c r="J28" s="1312">
        <f t="shared" si="46"/>
        <v>1023666</v>
      </c>
      <c r="K28" s="1312">
        <f t="shared" si="46"/>
        <v>456813</v>
      </c>
      <c r="L28" s="1312">
        <f t="shared" si="46"/>
        <v>0</v>
      </c>
      <c r="M28" s="1313">
        <f t="shared" si="46"/>
        <v>0</v>
      </c>
      <c r="N28" s="2125">
        <f t="shared" si="46"/>
        <v>1513179</v>
      </c>
      <c r="O28" s="2126">
        <f t="shared" si="4"/>
        <v>116.07106421430029</v>
      </c>
      <c r="P28" s="1312">
        <f t="shared" si="46"/>
        <v>32700</v>
      </c>
      <c r="Q28" s="2135">
        <v>0</v>
      </c>
      <c r="R28" s="2152">
        <f t="shared" si="13"/>
        <v>32700</v>
      </c>
      <c r="S28" s="2769"/>
      <c r="T28" s="2111">
        <f t="shared" si="14"/>
        <v>0</v>
      </c>
    </row>
    <row r="29" spans="1:23" s="252" customFormat="1" ht="16.5" customHeight="1" outlineLevel="1" x14ac:dyDescent="0.2">
      <c r="A29" s="3064"/>
      <c r="B29" s="2128" t="s">
        <v>13</v>
      </c>
      <c r="C29" s="2964"/>
      <c r="D29" s="576">
        <f t="shared" ref="D29:H29" si="47">+D30+D31+D32</f>
        <v>165344339</v>
      </c>
      <c r="E29" s="577">
        <f t="shared" si="47"/>
        <v>81993505</v>
      </c>
      <c r="F29" s="577">
        <f t="shared" si="47"/>
        <v>34707153</v>
      </c>
      <c r="G29" s="577">
        <f t="shared" si="47"/>
        <v>21259646</v>
      </c>
      <c r="H29" s="579">
        <f t="shared" si="47"/>
        <v>27384035</v>
      </c>
      <c r="I29" s="576">
        <f t="shared" ref="I29:P29" si="48">+I30+I31+I32</f>
        <v>165677925.92000002</v>
      </c>
      <c r="J29" s="577">
        <f t="shared" si="48"/>
        <v>81993505</v>
      </c>
      <c r="K29" s="577">
        <f t="shared" si="48"/>
        <v>35040739.920000002</v>
      </c>
      <c r="L29" s="577">
        <f t="shared" si="48"/>
        <v>21259646</v>
      </c>
      <c r="M29" s="579">
        <f t="shared" si="48"/>
        <v>27384035</v>
      </c>
      <c r="N29" s="2153">
        <f t="shared" si="48"/>
        <v>120050559.92000002</v>
      </c>
      <c r="O29" s="2154">
        <f t="shared" si="4"/>
        <v>72.606392602289233</v>
      </c>
      <c r="P29" s="541">
        <f t="shared" si="48"/>
        <v>3016315</v>
      </c>
      <c r="Q29" s="2154">
        <f t="shared" si="5"/>
        <v>14.187983186549765</v>
      </c>
      <c r="R29" s="2155">
        <f t="shared" si="13"/>
        <v>-2298596.5</v>
      </c>
      <c r="S29" s="2769"/>
      <c r="T29" s="2111">
        <f t="shared" si="14"/>
        <v>0</v>
      </c>
    </row>
    <row r="30" spans="1:23" s="493" customFormat="1" ht="16.5" customHeight="1" outlineLevel="1" x14ac:dyDescent="0.2">
      <c r="A30" s="3064"/>
      <c r="B30" s="557" t="s">
        <v>15</v>
      </c>
      <c r="C30" s="2964"/>
      <c r="D30" s="1311">
        <f t="shared" ref="D30:H30" si="49">+D45+D59+D72+D139+D103+D225+D87</f>
        <v>95568608</v>
      </c>
      <c r="E30" s="1312">
        <f t="shared" si="49"/>
        <v>43847683</v>
      </c>
      <c r="F30" s="1312">
        <f t="shared" si="49"/>
        <v>25594277</v>
      </c>
      <c r="G30" s="1312">
        <f t="shared" si="49"/>
        <v>15559646</v>
      </c>
      <c r="H30" s="1313">
        <f t="shared" si="49"/>
        <v>10567002</v>
      </c>
      <c r="I30" s="1311">
        <f t="shared" ref="I30:N30" si="50">+I45+I59+I72+I139+I103+I225+I87</f>
        <v>95486063.920000017</v>
      </c>
      <c r="J30" s="1312">
        <f t="shared" si="50"/>
        <v>43847683</v>
      </c>
      <c r="K30" s="1312">
        <f t="shared" si="50"/>
        <v>25511732.919999998</v>
      </c>
      <c r="L30" s="1312">
        <f t="shared" si="50"/>
        <v>15559646</v>
      </c>
      <c r="M30" s="1313">
        <f t="shared" si="50"/>
        <v>10567002</v>
      </c>
      <c r="N30" s="2125">
        <f t="shared" si="50"/>
        <v>71077631.920000017</v>
      </c>
      <c r="O30" s="2126">
        <f t="shared" si="4"/>
        <v>74.373409226594589</v>
      </c>
      <c r="P30" s="1312">
        <f>+P45+P59+P72+P139+P103+P225+P87</f>
        <v>1718216</v>
      </c>
      <c r="Q30" s="2126">
        <f t="shared" si="5"/>
        <v>11.042770510331662</v>
      </c>
      <c r="R30" s="2127">
        <f t="shared" si="13"/>
        <v>-2171695.5</v>
      </c>
      <c r="S30" s="2769"/>
      <c r="T30" s="2111">
        <f t="shared" si="14"/>
        <v>0</v>
      </c>
    </row>
    <row r="31" spans="1:23" s="493" customFormat="1" ht="16.5" customHeight="1" outlineLevel="1" x14ac:dyDescent="0.2">
      <c r="A31" s="3064"/>
      <c r="B31" s="557" t="s">
        <v>9</v>
      </c>
      <c r="C31" s="2964"/>
      <c r="D31" s="1311">
        <f t="shared" ref="D31:H31" si="51">+D140+D153+D104+D88+D200+D215</f>
        <v>47227515</v>
      </c>
      <c r="E31" s="1312">
        <f t="shared" si="51"/>
        <v>31284995</v>
      </c>
      <c r="F31" s="1312">
        <f t="shared" si="51"/>
        <v>3867520</v>
      </c>
      <c r="G31" s="1312">
        <f t="shared" si="51"/>
        <v>5700000</v>
      </c>
      <c r="H31" s="1313">
        <f t="shared" si="51"/>
        <v>6375000</v>
      </c>
      <c r="I31" s="1311">
        <f t="shared" ref="I31:P31" si="52">+I140+I153+I104+I88+I200+I215</f>
        <v>47113207</v>
      </c>
      <c r="J31" s="1312">
        <f t="shared" si="52"/>
        <v>31284995</v>
      </c>
      <c r="K31" s="1312">
        <f t="shared" si="52"/>
        <v>3753212</v>
      </c>
      <c r="L31" s="1312">
        <f t="shared" si="52"/>
        <v>5700000</v>
      </c>
      <c r="M31" s="1313">
        <f t="shared" si="52"/>
        <v>6375000</v>
      </c>
      <c r="N31" s="2125">
        <f t="shared" si="52"/>
        <v>36238207</v>
      </c>
      <c r="O31" s="2126">
        <f t="shared" si="4"/>
        <v>76.731132264740168</v>
      </c>
      <c r="P31" s="1312">
        <f t="shared" si="52"/>
        <v>1200000</v>
      </c>
      <c r="Q31" s="2126">
        <f t="shared" si="5"/>
        <v>21.052631578947366</v>
      </c>
      <c r="R31" s="2127">
        <f t="shared" si="13"/>
        <v>-225000</v>
      </c>
      <c r="S31" s="2769"/>
      <c r="T31" s="2111">
        <f t="shared" si="14"/>
        <v>0</v>
      </c>
    </row>
    <row r="32" spans="1:23" s="493" customFormat="1" ht="16.5" customHeight="1" outlineLevel="1" thickBot="1" x14ac:dyDescent="0.25">
      <c r="A32" s="3065"/>
      <c r="B32" s="557" t="s">
        <v>14</v>
      </c>
      <c r="C32" s="2965"/>
      <c r="D32" s="2156">
        <f t="shared" ref="D32:H32" si="53">D115+D126+D201</f>
        <v>22548216</v>
      </c>
      <c r="E32" s="2157">
        <f t="shared" si="53"/>
        <v>6860827</v>
      </c>
      <c r="F32" s="2157">
        <f t="shared" si="53"/>
        <v>5245356</v>
      </c>
      <c r="G32" s="2158">
        <f t="shared" si="53"/>
        <v>0</v>
      </c>
      <c r="H32" s="2159">
        <f t="shared" si="53"/>
        <v>10442033</v>
      </c>
      <c r="I32" s="2156">
        <f t="shared" ref="I32:P32" si="54">I115+I126+I201</f>
        <v>23078655</v>
      </c>
      <c r="J32" s="2157">
        <f t="shared" si="54"/>
        <v>6860827</v>
      </c>
      <c r="K32" s="2157">
        <f t="shared" si="54"/>
        <v>5775795</v>
      </c>
      <c r="L32" s="2157">
        <f t="shared" si="54"/>
        <v>0</v>
      </c>
      <c r="M32" s="2159">
        <f t="shared" si="54"/>
        <v>10442033</v>
      </c>
      <c r="N32" s="2125">
        <f t="shared" si="54"/>
        <v>12734721</v>
      </c>
      <c r="O32" s="2126">
        <f t="shared" si="4"/>
        <v>56.477731985537126</v>
      </c>
      <c r="P32" s="1312">
        <f t="shared" si="54"/>
        <v>98099</v>
      </c>
      <c r="Q32" s="2135">
        <v>0</v>
      </c>
      <c r="R32" s="2127">
        <f t="shared" si="13"/>
        <v>98099</v>
      </c>
      <c r="S32" s="2770"/>
      <c r="T32" s="2111">
        <f t="shared" si="14"/>
        <v>0</v>
      </c>
    </row>
    <row r="33" spans="1:21" s="2169" customFormat="1" ht="39.75" customHeight="1" x14ac:dyDescent="0.2">
      <c r="A33" s="3208" t="s">
        <v>40</v>
      </c>
      <c r="B33" s="2160" t="s">
        <v>224</v>
      </c>
      <c r="C33" s="2161" t="s">
        <v>225</v>
      </c>
      <c r="D33" s="2162"/>
      <c r="E33" s="2163"/>
      <c r="F33" s="2163"/>
      <c r="G33" s="2163"/>
      <c r="H33" s="2164"/>
      <c r="I33" s="2162"/>
      <c r="J33" s="2163"/>
      <c r="K33" s="2163"/>
      <c r="L33" s="2163"/>
      <c r="M33" s="2164"/>
      <c r="N33" s="2165"/>
      <c r="O33" s="2166"/>
      <c r="P33" s="2167"/>
      <c r="Q33" s="2166"/>
      <c r="R33" s="2168"/>
      <c r="S33" s="2988" t="s">
        <v>226</v>
      </c>
      <c r="T33" s="2111">
        <f t="shared" si="14"/>
        <v>0</v>
      </c>
    </row>
    <row r="34" spans="1:21" s="2175" customFormat="1" ht="14.25" customHeight="1" x14ac:dyDescent="0.2">
      <c r="A34" s="3209"/>
      <c r="B34" s="2170" t="s">
        <v>3</v>
      </c>
      <c r="C34" s="2171"/>
      <c r="D34" s="711">
        <f t="shared" ref="D34:F34" si="55">+D35+D38</f>
        <v>27430251</v>
      </c>
      <c r="E34" s="686">
        <f t="shared" si="55"/>
        <v>14670244</v>
      </c>
      <c r="F34" s="686">
        <f t="shared" si="55"/>
        <v>8794161</v>
      </c>
      <c r="G34" s="686">
        <f>+G35+G38</f>
        <v>3965846</v>
      </c>
      <c r="H34" s="687">
        <f t="shared" ref="H34" si="56">+H35+H38</f>
        <v>0</v>
      </c>
      <c r="I34" s="711">
        <f t="shared" ref="I34:M34" si="57">+I35+I38</f>
        <v>27429826.759999998</v>
      </c>
      <c r="J34" s="686">
        <f t="shared" si="57"/>
        <v>14670244</v>
      </c>
      <c r="K34" s="2139">
        <f>+K35+K38</f>
        <v>8793736.7599999998</v>
      </c>
      <c r="L34" s="686">
        <f>+L35+L38</f>
        <v>3965846</v>
      </c>
      <c r="M34" s="2172">
        <f t="shared" si="57"/>
        <v>0</v>
      </c>
      <c r="N34" s="2173">
        <f>N35+N38</f>
        <v>23463980.759999998</v>
      </c>
      <c r="O34" s="712">
        <f t="shared" si="4"/>
        <v>85.540525166904217</v>
      </c>
      <c r="P34" s="686">
        <f>+P35+P38</f>
        <v>0</v>
      </c>
      <c r="Q34" s="712">
        <f t="shared" si="5"/>
        <v>0</v>
      </c>
      <c r="R34" s="2174">
        <f t="shared" si="13"/>
        <v>-991461.5</v>
      </c>
      <c r="S34" s="2989"/>
      <c r="T34" s="2111">
        <f t="shared" si="14"/>
        <v>0</v>
      </c>
    </row>
    <row r="35" spans="1:21" s="2175" customFormat="1" ht="14.25" customHeight="1" x14ac:dyDescent="0.2">
      <c r="A35" s="3209"/>
      <c r="B35" s="2176" t="s">
        <v>4</v>
      </c>
      <c r="C35" s="3210" t="s">
        <v>227</v>
      </c>
      <c r="D35" s="837">
        <f>+D36+D37</f>
        <v>13715126</v>
      </c>
      <c r="E35" s="839">
        <f>SUM(E36:E37)</f>
        <v>7335122</v>
      </c>
      <c r="F35" s="839">
        <f>SUM(F36:F37)</f>
        <v>4397081</v>
      </c>
      <c r="G35" s="839">
        <f>SUM(G36:G37)</f>
        <v>1982923</v>
      </c>
      <c r="H35" s="2177">
        <f>SUM(H36:H37)</f>
        <v>0</v>
      </c>
      <c r="I35" s="837">
        <f>+I36+I37</f>
        <v>13714913.41</v>
      </c>
      <c r="J35" s="839">
        <f>SUM(J36:J37)</f>
        <v>7335122</v>
      </c>
      <c r="K35" s="731">
        <f>SUM(K36:K37)</f>
        <v>4396868.41</v>
      </c>
      <c r="L35" s="839">
        <f>SUM(L36:L37)</f>
        <v>1982923</v>
      </c>
      <c r="M35" s="2178">
        <f>SUM(M36:M37)</f>
        <v>0</v>
      </c>
      <c r="N35" s="2179">
        <f>N37</f>
        <v>11731990.41</v>
      </c>
      <c r="O35" s="2180">
        <f t="shared" si="4"/>
        <v>85.540522267166921</v>
      </c>
      <c r="P35" s="839">
        <f>SUM(P36:P37)</f>
        <v>0</v>
      </c>
      <c r="Q35" s="2180">
        <f t="shared" si="5"/>
        <v>0</v>
      </c>
      <c r="R35" s="2181">
        <f t="shared" si="13"/>
        <v>-495730.75</v>
      </c>
      <c r="S35" s="2989"/>
      <c r="T35" s="2111">
        <f t="shared" si="14"/>
        <v>0</v>
      </c>
    </row>
    <row r="36" spans="1:21" s="2169" customFormat="1" ht="13.5" hidden="1" customHeight="1" x14ac:dyDescent="0.2">
      <c r="A36" s="3209"/>
      <c r="B36" s="2182" t="s">
        <v>5</v>
      </c>
      <c r="C36" s="3211"/>
      <c r="D36" s="2183">
        <f>+E36+F36+G36+H36</f>
        <v>0</v>
      </c>
      <c r="E36" s="492">
        <v>0</v>
      </c>
      <c r="F36" s="492">
        <v>0</v>
      </c>
      <c r="G36" s="492"/>
      <c r="H36" s="1236"/>
      <c r="I36" s="2183">
        <f>+J36+K36+L36+M36</f>
        <v>0</v>
      </c>
      <c r="J36" s="492">
        <v>0</v>
      </c>
      <c r="K36" s="2184">
        <v>0</v>
      </c>
      <c r="L36" s="492"/>
      <c r="M36" s="1415"/>
      <c r="N36" s="492"/>
      <c r="O36" s="492" t="e">
        <f t="shared" si="4"/>
        <v>#DIV/0!</v>
      </c>
      <c r="P36" s="492">
        <v>0</v>
      </c>
      <c r="Q36" s="492" t="e">
        <f t="shared" si="5"/>
        <v>#DIV/0!</v>
      </c>
      <c r="R36" s="492">
        <f t="shared" si="13"/>
        <v>0</v>
      </c>
      <c r="S36" s="2989"/>
      <c r="T36" s="2111">
        <f t="shared" si="14"/>
        <v>0</v>
      </c>
    </row>
    <row r="37" spans="1:21" s="2169" customFormat="1" ht="15.75" customHeight="1" x14ac:dyDescent="0.2">
      <c r="A37" s="3209"/>
      <c r="B37" s="2185" t="s">
        <v>8</v>
      </c>
      <c r="C37" s="3211"/>
      <c r="D37" s="701">
        <f>+E37+F37+G37+H37</f>
        <v>13715126</v>
      </c>
      <c r="E37" s="699">
        <f>1318026+6017096</f>
        <v>7335122</v>
      </c>
      <c r="F37" s="699">
        <v>4397081</v>
      </c>
      <c r="G37" s="699">
        <v>1982923</v>
      </c>
      <c r="H37" s="700">
        <v>0</v>
      </c>
      <c r="I37" s="701">
        <f>+J37+K37+L37+M37</f>
        <v>13714913.41</v>
      </c>
      <c r="J37" s="699">
        <f>1318026+6017096</f>
        <v>7335122</v>
      </c>
      <c r="K37" s="2186">
        <v>4396868.41</v>
      </c>
      <c r="L37" s="699">
        <v>1982923</v>
      </c>
      <c r="M37" s="1358"/>
      <c r="N37" s="848">
        <f>K37+P37+J37</f>
        <v>11731990.41</v>
      </c>
      <c r="O37" s="2187">
        <f t="shared" si="4"/>
        <v>85.540522267166921</v>
      </c>
      <c r="P37" s="699">
        <v>0</v>
      </c>
      <c r="Q37" s="2187">
        <f t="shared" si="5"/>
        <v>0</v>
      </c>
      <c r="R37" s="2188">
        <f t="shared" si="13"/>
        <v>-495730.75</v>
      </c>
      <c r="S37" s="2989"/>
      <c r="T37" s="2111">
        <f t="shared" si="14"/>
        <v>0</v>
      </c>
    </row>
    <row r="38" spans="1:21" s="2169" customFormat="1" ht="15.75" customHeight="1" x14ac:dyDescent="0.2">
      <c r="A38" s="3209"/>
      <c r="B38" s="2189" t="s">
        <v>13</v>
      </c>
      <c r="C38" s="3211"/>
      <c r="D38" s="820">
        <f t="shared" ref="D38:M38" si="58">+D39</f>
        <v>13715125</v>
      </c>
      <c r="E38" s="821">
        <f t="shared" si="58"/>
        <v>7335122</v>
      </c>
      <c r="F38" s="821">
        <f t="shared" si="58"/>
        <v>4397080</v>
      </c>
      <c r="G38" s="821">
        <f t="shared" si="58"/>
        <v>1982923</v>
      </c>
      <c r="H38" s="854">
        <f t="shared" si="58"/>
        <v>0</v>
      </c>
      <c r="I38" s="820">
        <f t="shared" si="58"/>
        <v>13714913.35</v>
      </c>
      <c r="J38" s="821">
        <f t="shared" si="58"/>
        <v>7335122</v>
      </c>
      <c r="K38" s="821">
        <f>+K39</f>
        <v>4396868.3499999996</v>
      </c>
      <c r="L38" s="821">
        <f t="shared" si="58"/>
        <v>1982923</v>
      </c>
      <c r="M38" s="822">
        <f t="shared" si="58"/>
        <v>0</v>
      </c>
      <c r="N38" s="930">
        <f>N39</f>
        <v>11731990.35</v>
      </c>
      <c r="O38" s="2190">
        <f t="shared" si="4"/>
        <v>85.540528066641755</v>
      </c>
      <c r="P38" s="821">
        <f>+P39</f>
        <v>0</v>
      </c>
      <c r="Q38" s="2190">
        <f t="shared" si="5"/>
        <v>0</v>
      </c>
      <c r="R38" s="2191">
        <f t="shared" si="13"/>
        <v>-495730.75</v>
      </c>
      <c r="S38" s="2989"/>
      <c r="T38" s="2111">
        <f t="shared" si="14"/>
        <v>0</v>
      </c>
    </row>
    <row r="39" spans="1:21" s="2169" customFormat="1" ht="15.75" customHeight="1" x14ac:dyDescent="0.2">
      <c r="A39" s="3209"/>
      <c r="B39" s="982" t="s">
        <v>15</v>
      </c>
      <c r="C39" s="3212"/>
      <c r="D39" s="701">
        <f>+E39+F39+G39+H39</f>
        <v>13715125</v>
      </c>
      <c r="E39" s="699">
        <f>1318026+6017096</f>
        <v>7335122</v>
      </c>
      <c r="F39" s="699">
        <v>4397080</v>
      </c>
      <c r="G39" s="699">
        <v>1982923</v>
      </c>
      <c r="H39" s="700"/>
      <c r="I39" s="701">
        <f>+J39+K39+L39+M39</f>
        <v>13714913.35</v>
      </c>
      <c r="J39" s="699">
        <f>1318026+6017096</f>
        <v>7335122</v>
      </c>
      <c r="K39" s="2192">
        <v>4396868.3499999996</v>
      </c>
      <c r="L39" s="699">
        <v>1982923</v>
      </c>
      <c r="M39" s="1358"/>
      <c r="N39" s="848">
        <f>K39+P39+J39</f>
        <v>11731990.35</v>
      </c>
      <c r="O39" s="2187">
        <f t="shared" si="4"/>
        <v>85.540528066641755</v>
      </c>
      <c r="P39" s="699">
        <v>0</v>
      </c>
      <c r="Q39" s="2187">
        <f t="shared" si="5"/>
        <v>0</v>
      </c>
      <c r="R39" s="2188">
        <f t="shared" si="13"/>
        <v>-495730.75</v>
      </c>
      <c r="S39" s="2989"/>
      <c r="T39" s="2111">
        <f t="shared" si="14"/>
        <v>0</v>
      </c>
    </row>
    <row r="40" spans="1:21" s="2169" customFormat="1" ht="15" customHeight="1" x14ac:dyDescent="0.2">
      <c r="A40" s="3209"/>
      <c r="B40" s="787" t="s">
        <v>17</v>
      </c>
      <c r="C40" s="2193"/>
      <c r="D40" s="711">
        <f>+D41+D44</f>
        <v>27430251</v>
      </c>
      <c r="E40" s="686">
        <f t="shared" ref="E40:F40" si="59">+E41+E44</f>
        <v>14670244</v>
      </c>
      <c r="F40" s="686">
        <f t="shared" si="59"/>
        <v>8794161</v>
      </c>
      <c r="G40" s="686">
        <f>+G41+G44</f>
        <v>3965846</v>
      </c>
      <c r="H40" s="687">
        <f t="shared" ref="H40" si="60">+H41+H44</f>
        <v>0</v>
      </c>
      <c r="I40" s="711">
        <f>+I41+I44</f>
        <v>27429826.759999998</v>
      </c>
      <c r="J40" s="686">
        <f t="shared" ref="J40:M40" si="61">+J41+J44</f>
        <v>14670244</v>
      </c>
      <c r="K40" s="2139">
        <f>+K41+K44</f>
        <v>8793736.7599999998</v>
      </c>
      <c r="L40" s="686">
        <f>+L41+L44</f>
        <v>3965846</v>
      </c>
      <c r="M40" s="2172">
        <f t="shared" si="61"/>
        <v>0</v>
      </c>
      <c r="N40" s="2173">
        <f>N41+N44</f>
        <v>23463980.759999998</v>
      </c>
      <c r="O40" s="712">
        <f t="shared" si="4"/>
        <v>85.540525166904217</v>
      </c>
      <c r="P40" s="686">
        <f>+P41+P44</f>
        <v>0</v>
      </c>
      <c r="Q40" s="712">
        <f t="shared" si="5"/>
        <v>0</v>
      </c>
      <c r="R40" s="2174">
        <f t="shared" si="13"/>
        <v>-991461.5</v>
      </c>
      <c r="S40" s="2989"/>
      <c r="T40" s="2111">
        <f t="shared" si="14"/>
        <v>0</v>
      </c>
      <c r="U40" s="2194"/>
    </row>
    <row r="41" spans="1:21" s="262" customFormat="1" ht="15" customHeight="1" x14ac:dyDescent="0.2">
      <c r="A41" s="3209"/>
      <c r="B41" s="2176" t="s">
        <v>4</v>
      </c>
      <c r="C41" s="3213" t="s">
        <v>227</v>
      </c>
      <c r="D41" s="837">
        <f>+D42</f>
        <v>13715126</v>
      </c>
      <c r="E41" s="839">
        <f>+E42+E43</f>
        <v>7335122</v>
      </c>
      <c r="F41" s="839">
        <f>+F42+F43</f>
        <v>4397081</v>
      </c>
      <c r="G41" s="839">
        <f>+G42+G43</f>
        <v>1982923</v>
      </c>
      <c r="H41" s="2177">
        <f>+H42+H43</f>
        <v>0</v>
      </c>
      <c r="I41" s="837">
        <f>+I42</f>
        <v>13714913.41</v>
      </c>
      <c r="J41" s="839">
        <f>+J42+J43</f>
        <v>7335122</v>
      </c>
      <c r="K41" s="2195">
        <f>+K42+K43</f>
        <v>4396868.41</v>
      </c>
      <c r="L41" s="839">
        <f>+L42+L43</f>
        <v>1982923</v>
      </c>
      <c r="M41" s="2178">
        <f>+M42+M43</f>
        <v>0</v>
      </c>
      <c r="N41" s="2179">
        <f>N42</f>
        <v>11731990.41</v>
      </c>
      <c r="O41" s="2180">
        <f t="shared" si="4"/>
        <v>85.540522267166921</v>
      </c>
      <c r="P41" s="839">
        <f>+P42+P43</f>
        <v>0</v>
      </c>
      <c r="Q41" s="2180">
        <f t="shared" si="5"/>
        <v>0</v>
      </c>
      <c r="R41" s="2181">
        <f t="shared" si="13"/>
        <v>-495730.75</v>
      </c>
      <c r="S41" s="2989"/>
      <c r="T41" s="2111">
        <f t="shared" si="14"/>
        <v>0</v>
      </c>
      <c r="U41" s="2194"/>
    </row>
    <row r="42" spans="1:21" s="262" customFormat="1" ht="15" customHeight="1" x14ac:dyDescent="0.2">
      <c r="A42" s="3209"/>
      <c r="B42" s="2185" t="s">
        <v>8</v>
      </c>
      <c r="C42" s="2842"/>
      <c r="D42" s="701">
        <f>+E42+F42+G42+H42</f>
        <v>13715126</v>
      </c>
      <c r="E42" s="699">
        <f>1318026+6017096</f>
        <v>7335122</v>
      </c>
      <c r="F42" s="699">
        <v>4397081</v>
      </c>
      <c r="G42" s="699">
        <v>1982923</v>
      </c>
      <c r="H42" s="700">
        <v>0</v>
      </c>
      <c r="I42" s="701">
        <f>+J42+K42+L42+M42</f>
        <v>13714913.41</v>
      </c>
      <c r="J42" s="699">
        <f>1318026+6017096</f>
        <v>7335122</v>
      </c>
      <c r="K42" s="2186">
        <v>4396868.41</v>
      </c>
      <c r="L42" s="699">
        <v>1982923</v>
      </c>
      <c r="M42" s="1358"/>
      <c r="N42" s="848">
        <f>K42+P42+J42</f>
        <v>11731990.41</v>
      </c>
      <c r="O42" s="2187">
        <f t="shared" si="4"/>
        <v>85.540522267166921</v>
      </c>
      <c r="P42" s="699">
        <v>0</v>
      </c>
      <c r="Q42" s="2187">
        <f t="shared" si="5"/>
        <v>0</v>
      </c>
      <c r="R42" s="2188">
        <f t="shared" si="13"/>
        <v>-495730.75</v>
      </c>
      <c r="S42" s="2989"/>
      <c r="T42" s="2111">
        <f t="shared" si="14"/>
        <v>0</v>
      </c>
      <c r="U42" s="2196"/>
    </row>
    <row r="43" spans="1:21" s="262" customFormat="1" ht="15" hidden="1" customHeight="1" x14ac:dyDescent="0.2">
      <c r="A43" s="3209"/>
      <c r="B43" s="2182" t="s">
        <v>223</v>
      </c>
      <c r="C43" s="2842"/>
      <c r="D43" s="701">
        <f>+E43+F43+G43+H43</f>
        <v>0</v>
      </c>
      <c r="E43" s="699"/>
      <c r="F43" s="699"/>
      <c r="G43" s="699"/>
      <c r="H43" s="700"/>
      <c r="I43" s="701">
        <f>+J43+K43+L43+M43</f>
        <v>0</v>
      </c>
      <c r="J43" s="699"/>
      <c r="K43" s="2184">
        <v>0</v>
      </c>
      <c r="L43" s="699"/>
      <c r="M43" s="1358"/>
      <c r="N43" s="848"/>
      <c r="O43" s="2187" t="e">
        <f t="shared" si="4"/>
        <v>#DIV/0!</v>
      </c>
      <c r="P43" s="699">
        <v>0</v>
      </c>
      <c r="Q43" s="2187" t="e">
        <f t="shared" si="5"/>
        <v>#DIV/0!</v>
      </c>
      <c r="R43" s="2188">
        <f t="shared" si="13"/>
        <v>0</v>
      </c>
      <c r="S43" s="2989"/>
      <c r="T43" s="2111">
        <f t="shared" si="14"/>
        <v>0</v>
      </c>
      <c r="U43" s="2194"/>
    </row>
    <row r="44" spans="1:21" s="262" customFormat="1" ht="15" customHeight="1" x14ac:dyDescent="0.2">
      <c r="A44" s="3209"/>
      <c r="B44" s="2189" t="s">
        <v>13</v>
      </c>
      <c r="C44" s="2842"/>
      <c r="D44" s="820">
        <f>+D45</f>
        <v>13715125</v>
      </c>
      <c r="E44" s="821">
        <f>+E45+E46</f>
        <v>7335122</v>
      </c>
      <c r="F44" s="821">
        <f>+F45+F46</f>
        <v>4397080</v>
      </c>
      <c r="G44" s="821">
        <f>+G45+G46</f>
        <v>1982923</v>
      </c>
      <c r="H44" s="854">
        <f>+H45+H46</f>
        <v>0</v>
      </c>
      <c r="I44" s="820">
        <f>+I45</f>
        <v>13714913.35</v>
      </c>
      <c r="J44" s="821">
        <f>+J45+J46</f>
        <v>7335122</v>
      </c>
      <c r="K44" s="821">
        <f>+K45+K46</f>
        <v>4396868.3499999996</v>
      </c>
      <c r="L44" s="821">
        <f>+L45+L46</f>
        <v>1982923</v>
      </c>
      <c r="M44" s="822">
        <f>+M45+M46</f>
        <v>0</v>
      </c>
      <c r="N44" s="930">
        <f>N45</f>
        <v>11731990.35</v>
      </c>
      <c r="O44" s="2190">
        <f t="shared" si="4"/>
        <v>85.540528066641755</v>
      </c>
      <c r="P44" s="821">
        <f>+P45+P46</f>
        <v>0</v>
      </c>
      <c r="Q44" s="2190">
        <f t="shared" si="5"/>
        <v>0</v>
      </c>
      <c r="R44" s="2191">
        <f t="shared" si="13"/>
        <v>-495730.75</v>
      </c>
      <c r="S44" s="2989"/>
      <c r="T44" s="2111">
        <f t="shared" si="14"/>
        <v>0</v>
      </c>
      <c r="U44" s="2196"/>
    </row>
    <row r="45" spans="1:21" s="262" customFormat="1" ht="15" customHeight="1" thickBot="1" x14ac:dyDescent="0.25">
      <c r="A45" s="2916"/>
      <c r="B45" s="2197" t="s">
        <v>15</v>
      </c>
      <c r="C45" s="2842"/>
      <c r="D45" s="722">
        <f>+E45+F45+G45+H45</f>
        <v>13715125</v>
      </c>
      <c r="E45" s="720">
        <f>1318026+6017096</f>
        <v>7335122</v>
      </c>
      <c r="F45" s="720">
        <v>4397080</v>
      </c>
      <c r="G45" s="720">
        <v>1982923</v>
      </c>
      <c r="H45" s="1116">
        <v>0</v>
      </c>
      <c r="I45" s="722">
        <f>+J45+K45+L45+M45</f>
        <v>13714913.35</v>
      </c>
      <c r="J45" s="720">
        <f>1318026+6017096</f>
        <v>7335122</v>
      </c>
      <c r="K45" s="2198">
        <v>4396868.3499999996</v>
      </c>
      <c r="L45" s="720">
        <v>1982923</v>
      </c>
      <c r="M45" s="1116"/>
      <c r="N45" s="848">
        <f>K45+P45+J45</f>
        <v>11731990.35</v>
      </c>
      <c r="O45" s="2187">
        <f t="shared" si="4"/>
        <v>85.540528066641755</v>
      </c>
      <c r="P45" s="699">
        <v>0</v>
      </c>
      <c r="Q45" s="2187">
        <f t="shared" si="5"/>
        <v>0</v>
      </c>
      <c r="R45" s="2188">
        <f t="shared" si="13"/>
        <v>-495730.75</v>
      </c>
      <c r="S45" s="2990"/>
      <c r="T45" s="2111">
        <f t="shared" si="14"/>
        <v>0</v>
      </c>
      <c r="U45" s="2194"/>
    </row>
    <row r="46" spans="1:21" s="262" customFormat="1" ht="13.5" hidden="1" customHeight="1" thickBot="1" x14ac:dyDescent="0.25">
      <c r="A46" s="2199"/>
      <c r="B46" s="2200" t="s">
        <v>14</v>
      </c>
      <c r="C46" s="2201"/>
      <c r="D46" s="2202">
        <f>+E46+F46+G46+H46</f>
        <v>0</v>
      </c>
      <c r="E46" s="2203">
        <v>0</v>
      </c>
      <c r="F46" s="2204"/>
      <c r="G46" s="2205"/>
      <c r="H46" s="2206"/>
      <c r="I46" s="2202">
        <f>+J46+K46+L46+M46</f>
        <v>0</v>
      </c>
      <c r="J46" s="2203">
        <v>0</v>
      </c>
      <c r="K46" s="2204"/>
      <c r="L46" s="2205"/>
      <c r="M46" s="2206"/>
      <c r="N46" s="2207"/>
      <c r="O46" s="1832" t="e">
        <f t="shared" si="4"/>
        <v>#DIV/0!</v>
      </c>
      <c r="P46" s="1833"/>
      <c r="Q46" s="1832" t="e">
        <f t="shared" si="5"/>
        <v>#DIV/0!</v>
      </c>
      <c r="R46" s="2208">
        <f t="shared" si="13"/>
        <v>0</v>
      </c>
      <c r="S46" s="2209"/>
      <c r="T46" s="2111">
        <f t="shared" si="14"/>
        <v>0</v>
      </c>
      <c r="U46" s="2194"/>
    </row>
    <row r="47" spans="1:21" s="2169" customFormat="1" ht="54" customHeight="1" x14ac:dyDescent="0.2">
      <c r="A47" s="3208" t="s">
        <v>43</v>
      </c>
      <c r="B47" s="2160" t="s">
        <v>228</v>
      </c>
      <c r="C47" s="2210" t="s">
        <v>225</v>
      </c>
      <c r="D47" s="2162"/>
      <c r="E47" s="2163"/>
      <c r="F47" s="2163"/>
      <c r="G47" s="2163"/>
      <c r="H47" s="2164"/>
      <c r="I47" s="2162"/>
      <c r="J47" s="2163"/>
      <c r="K47" s="2163"/>
      <c r="L47" s="2163"/>
      <c r="M47" s="2164"/>
      <c r="N47" s="2211"/>
      <c r="O47" s="2163"/>
      <c r="P47" s="2163"/>
      <c r="Q47" s="2163"/>
      <c r="R47" s="2168"/>
      <c r="S47" s="2988" t="s">
        <v>226</v>
      </c>
      <c r="T47" s="2111">
        <f t="shared" si="14"/>
        <v>0</v>
      </c>
    </row>
    <row r="48" spans="1:21" s="2175" customFormat="1" ht="12.75" customHeight="1" x14ac:dyDescent="0.2">
      <c r="A48" s="3209"/>
      <c r="B48" s="2170" t="s">
        <v>3</v>
      </c>
      <c r="C48" s="2212"/>
      <c r="D48" s="711">
        <f t="shared" ref="D48" si="62">+D49+D52</f>
        <v>29595426</v>
      </c>
      <c r="E48" s="686">
        <f>+E49+E52</f>
        <v>21051526</v>
      </c>
      <c r="F48" s="686">
        <f t="shared" ref="F48:H48" si="63">+F49+F52</f>
        <v>5185432</v>
      </c>
      <c r="G48" s="686">
        <f t="shared" si="63"/>
        <v>3358468</v>
      </c>
      <c r="H48" s="687">
        <f t="shared" si="63"/>
        <v>0</v>
      </c>
      <c r="I48" s="711">
        <f t="shared" ref="I48:M48" si="64">+I49+I52</f>
        <v>29594828.649999999</v>
      </c>
      <c r="J48" s="686">
        <f>+J49+J52</f>
        <v>21051526</v>
      </c>
      <c r="K48" s="2213">
        <f>+K49+K52</f>
        <v>5184834.6500000004</v>
      </c>
      <c r="L48" s="686">
        <f t="shared" si="64"/>
        <v>3358468</v>
      </c>
      <c r="M48" s="2172">
        <f t="shared" si="64"/>
        <v>0</v>
      </c>
      <c r="N48" s="2173">
        <f>N49+N52</f>
        <v>26236360.649999999</v>
      </c>
      <c r="O48" s="712">
        <f t="shared" si="4"/>
        <v>88.650052376336802</v>
      </c>
      <c r="P48" s="686">
        <f>+P49+P52</f>
        <v>0</v>
      </c>
      <c r="Q48" s="712">
        <f t="shared" si="5"/>
        <v>0</v>
      </c>
      <c r="R48" s="2174">
        <f t="shared" si="13"/>
        <v>-839617</v>
      </c>
      <c r="S48" s="2989"/>
      <c r="T48" s="2111">
        <f t="shared" si="14"/>
        <v>0</v>
      </c>
    </row>
    <row r="49" spans="1:21" s="2175" customFormat="1" ht="13.5" customHeight="1" x14ac:dyDescent="0.2">
      <c r="A49" s="3209"/>
      <c r="B49" s="1383" t="s">
        <v>4</v>
      </c>
      <c r="C49" s="3077" t="s">
        <v>227</v>
      </c>
      <c r="D49" s="837">
        <f>+D51</f>
        <v>15526398</v>
      </c>
      <c r="E49" s="839">
        <f>SUM(E50:E51)</f>
        <v>10525763</v>
      </c>
      <c r="F49" s="839">
        <f>SUM(F50:F51)</f>
        <v>3239607</v>
      </c>
      <c r="G49" s="839">
        <f>SUM(G50:G51)</f>
        <v>1761028</v>
      </c>
      <c r="H49" s="2177">
        <f>SUM(H50:H51)</f>
        <v>0</v>
      </c>
      <c r="I49" s="837">
        <f>+I51</f>
        <v>15526098.85</v>
      </c>
      <c r="J49" s="839">
        <f>SUM(J50:J51)</f>
        <v>10525763</v>
      </c>
      <c r="K49" s="821">
        <f>SUM(K50:K51)</f>
        <v>3239307.85</v>
      </c>
      <c r="L49" s="839">
        <f>SUM(L50:L51)</f>
        <v>1761028</v>
      </c>
      <c r="M49" s="2178">
        <f>SUM(M50:M51)</f>
        <v>0</v>
      </c>
      <c r="N49" s="2179">
        <f>N51</f>
        <v>13765070.85</v>
      </c>
      <c r="O49" s="2180">
        <f t="shared" si="4"/>
        <v>88.655919099845306</v>
      </c>
      <c r="P49" s="839">
        <f>SUM(P50:P51)</f>
        <v>0</v>
      </c>
      <c r="Q49" s="2180">
        <f t="shared" si="5"/>
        <v>0</v>
      </c>
      <c r="R49" s="2181">
        <f t="shared" si="13"/>
        <v>-440257</v>
      </c>
      <c r="S49" s="2989"/>
      <c r="T49" s="2111">
        <f t="shared" si="14"/>
        <v>0</v>
      </c>
    </row>
    <row r="50" spans="1:21" s="2169" customFormat="1" ht="13.5" hidden="1" customHeight="1" x14ac:dyDescent="0.2">
      <c r="A50" s="3209"/>
      <c r="B50" s="2182" t="s">
        <v>5</v>
      </c>
      <c r="C50" s="3055"/>
      <c r="D50" s="2183" t="e">
        <f>+E50+F50+G50+#REF!+#REF!+#REF!</f>
        <v>#REF!</v>
      </c>
      <c r="E50" s="492">
        <v>0</v>
      </c>
      <c r="F50" s="492">
        <v>0</v>
      </c>
      <c r="G50" s="492"/>
      <c r="H50" s="1236"/>
      <c r="I50" s="2183" t="e">
        <f>+J50+K50+L50+#REF!+#REF!+#REF!</f>
        <v>#REF!</v>
      </c>
      <c r="J50" s="492">
        <v>0</v>
      </c>
      <c r="K50" s="2184">
        <v>0</v>
      </c>
      <c r="L50" s="492"/>
      <c r="M50" s="1415"/>
      <c r="N50" s="2214"/>
      <c r="O50" s="2215" t="e">
        <f t="shared" si="4"/>
        <v>#REF!</v>
      </c>
      <c r="P50" s="2184">
        <v>0</v>
      </c>
      <c r="Q50" s="2215" t="e">
        <f t="shared" si="5"/>
        <v>#DIV/0!</v>
      </c>
      <c r="R50" s="1397">
        <f t="shared" si="13"/>
        <v>0</v>
      </c>
      <c r="S50" s="2989"/>
      <c r="T50" s="2111">
        <f t="shared" si="14"/>
        <v>0</v>
      </c>
    </row>
    <row r="51" spans="1:21" s="2169" customFormat="1" ht="15" customHeight="1" x14ac:dyDescent="0.2">
      <c r="A51" s="3209"/>
      <c r="B51" s="2185" t="s">
        <v>8</v>
      </c>
      <c r="C51" s="3055"/>
      <c r="D51" s="701">
        <f>+E51+F51+G51+H51</f>
        <v>15526398</v>
      </c>
      <c r="E51" s="699">
        <f>2167528+8358235</f>
        <v>10525763</v>
      </c>
      <c r="F51" s="699">
        <v>3239607</v>
      </c>
      <c r="G51" s="699">
        <v>1761028</v>
      </c>
      <c r="H51" s="700">
        <v>0</v>
      </c>
      <c r="I51" s="701">
        <f>+J51+K51+L51+M51</f>
        <v>15526098.85</v>
      </c>
      <c r="J51" s="699">
        <f>2167528+8358235</f>
        <v>10525763</v>
      </c>
      <c r="K51" s="2192">
        <v>3239307.85</v>
      </c>
      <c r="L51" s="699">
        <v>1761028</v>
      </c>
      <c r="M51" s="1358">
        <v>0</v>
      </c>
      <c r="N51" s="848">
        <f>K51+P51+J51</f>
        <v>13765070.85</v>
      </c>
      <c r="O51" s="2187">
        <f t="shared" si="4"/>
        <v>88.655919099845306</v>
      </c>
      <c r="P51" s="699">
        <v>0</v>
      </c>
      <c r="Q51" s="2187">
        <f t="shared" si="5"/>
        <v>0</v>
      </c>
      <c r="R51" s="2188">
        <f t="shared" si="13"/>
        <v>-440257</v>
      </c>
      <c r="S51" s="2989"/>
      <c r="T51" s="2111">
        <f t="shared" si="14"/>
        <v>0</v>
      </c>
    </row>
    <row r="52" spans="1:21" s="2169" customFormat="1" ht="15" customHeight="1" x14ac:dyDescent="0.2">
      <c r="A52" s="3209"/>
      <c r="B52" s="1383" t="s">
        <v>13</v>
      </c>
      <c r="C52" s="3055"/>
      <c r="D52" s="837">
        <f t="shared" ref="D52:M52" si="65">+D53</f>
        <v>14069028</v>
      </c>
      <c r="E52" s="839">
        <f t="shared" si="65"/>
        <v>10525763</v>
      </c>
      <c r="F52" s="839">
        <f t="shared" si="65"/>
        <v>1945825</v>
      </c>
      <c r="G52" s="839">
        <f t="shared" si="65"/>
        <v>1597440</v>
      </c>
      <c r="H52" s="2177">
        <f t="shared" si="65"/>
        <v>0</v>
      </c>
      <c r="I52" s="837">
        <f t="shared" si="65"/>
        <v>14068729.800000001</v>
      </c>
      <c r="J52" s="839">
        <f t="shared" si="65"/>
        <v>10525763</v>
      </c>
      <c r="K52" s="2216">
        <f>+K53</f>
        <v>1945526.8</v>
      </c>
      <c r="L52" s="839">
        <f t="shared" si="65"/>
        <v>1597440</v>
      </c>
      <c r="M52" s="2178">
        <f t="shared" si="65"/>
        <v>0</v>
      </c>
      <c r="N52" s="2179">
        <f>N53</f>
        <v>12471289.800000001</v>
      </c>
      <c r="O52" s="2180">
        <f t="shared" si="4"/>
        <v>88.643577935874461</v>
      </c>
      <c r="P52" s="839">
        <f>+P53</f>
        <v>0</v>
      </c>
      <c r="Q52" s="2180">
        <f t="shared" si="5"/>
        <v>0</v>
      </c>
      <c r="R52" s="2181">
        <f t="shared" si="13"/>
        <v>-399360</v>
      </c>
      <c r="S52" s="2989"/>
      <c r="T52" s="2111">
        <f t="shared" si="14"/>
        <v>0</v>
      </c>
    </row>
    <row r="53" spans="1:21" s="2169" customFormat="1" ht="15" customHeight="1" x14ac:dyDescent="0.2">
      <c r="A53" s="3209"/>
      <c r="B53" s="2185" t="s">
        <v>15</v>
      </c>
      <c r="C53" s="3076"/>
      <c r="D53" s="701">
        <f>+E53+F53+G53+H53</f>
        <v>14069028</v>
      </c>
      <c r="E53" s="699">
        <f>2167528+8358235</f>
        <v>10525763</v>
      </c>
      <c r="F53" s="699">
        <v>1945825</v>
      </c>
      <c r="G53" s="699">
        <v>1597440</v>
      </c>
      <c r="H53" s="700">
        <v>0</v>
      </c>
      <c r="I53" s="701">
        <f>+J53+K53+L53+M53</f>
        <v>14068729.800000001</v>
      </c>
      <c r="J53" s="699">
        <f>2167528+8358235</f>
        <v>10525763</v>
      </c>
      <c r="K53" s="2186">
        <v>1945526.8</v>
      </c>
      <c r="L53" s="699">
        <v>1597440</v>
      </c>
      <c r="M53" s="1358">
        <v>0</v>
      </c>
      <c r="N53" s="848">
        <f>K53+P53+J53</f>
        <v>12471289.800000001</v>
      </c>
      <c r="O53" s="2187">
        <f t="shared" si="4"/>
        <v>88.643577935874461</v>
      </c>
      <c r="P53" s="699">
        <v>0</v>
      </c>
      <c r="Q53" s="2187">
        <f t="shared" si="5"/>
        <v>0</v>
      </c>
      <c r="R53" s="2188">
        <f t="shared" si="13"/>
        <v>-399360</v>
      </c>
      <c r="S53" s="2989"/>
      <c r="T53" s="2111">
        <f t="shared" si="14"/>
        <v>0</v>
      </c>
    </row>
    <row r="54" spans="1:21" s="2169" customFormat="1" ht="14.25" customHeight="1" x14ac:dyDescent="0.2">
      <c r="A54" s="3209"/>
      <c r="B54" s="2170" t="s">
        <v>17</v>
      </c>
      <c r="C54" s="2212"/>
      <c r="D54" s="711">
        <f t="shared" ref="D54:H54" si="66">+D55+D58</f>
        <v>29595426</v>
      </c>
      <c r="E54" s="686">
        <f t="shared" si="66"/>
        <v>21051526</v>
      </c>
      <c r="F54" s="686">
        <f t="shared" si="66"/>
        <v>5185432</v>
      </c>
      <c r="G54" s="686">
        <f t="shared" si="66"/>
        <v>3358468</v>
      </c>
      <c r="H54" s="687">
        <f t="shared" si="66"/>
        <v>0</v>
      </c>
      <c r="I54" s="711">
        <f t="shared" ref="I54:M54" si="67">+I55+I58</f>
        <v>29594829</v>
      </c>
      <c r="J54" s="686">
        <f t="shared" si="67"/>
        <v>21051526</v>
      </c>
      <c r="K54" s="2139">
        <f>+K55+K58</f>
        <v>5184835</v>
      </c>
      <c r="L54" s="686">
        <f t="shared" si="67"/>
        <v>3358468</v>
      </c>
      <c r="M54" s="2172">
        <f t="shared" si="67"/>
        <v>0</v>
      </c>
      <c r="N54" s="2173">
        <f>N55+N58</f>
        <v>26236361</v>
      </c>
      <c r="O54" s="712">
        <f t="shared" si="4"/>
        <v>88.650053558951981</v>
      </c>
      <c r="P54" s="686">
        <f>+P55+P58</f>
        <v>0</v>
      </c>
      <c r="Q54" s="712">
        <f t="shared" si="5"/>
        <v>0</v>
      </c>
      <c r="R54" s="2174">
        <f t="shared" si="13"/>
        <v>-839617</v>
      </c>
      <c r="S54" s="2989"/>
      <c r="T54" s="2111">
        <f t="shared" si="14"/>
        <v>0</v>
      </c>
      <c r="U54" s="2194"/>
    </row>
    <row r="55" spans="1:21" s="262" customFormat="1" ht="14.25" customHeight="1" x14ac:dyDescent="0.2">
      <c r="A55" s="3209"/>
      <c r="B55" s="1383" t="s">
        <v>4</v>
      </c>
      <c r="C55" s="3214" t="s">
        <v>227</v>
      </c>
      <c r="D55" s="837">
        <f>+D56</f>
        <v>15526398</v>
      </c>
      <c r="E55" s="839">
        <f>+E56+E57</f>
        <v>10525763</v>
      </c>
      <c r="F55" s="839">
        <f>+F56+F57</f>
        <v>3239607</v>
      </c>
      <c r="G55" s="839">
        <f>+G56+G57</f>
        <v>1761028</v>
      </c>
      <c r="H55" s="2177">
        <f>+H56+H57</f>
        <v>0</v>
      </c>
      <c r="I55" s="837">
        <f>+I56</f>
        <v>15526099</v>
      </c>
      <c r="J55" s="839">
        <f>+J56+J57</f>
        <v>10525763</v>
      </c>
      <c r="K55" s="731">
        <f>+K56+K57</f>
        <v>3239308</v>
      </c>
      <c r="L55" s="839">
        <f>+L56+L57</f>
        <v>1761028</v>
      </c>
      <c r="M55" s="2178">
        <f>+M56+M57</f>
        <v>0</v>
      </c>
      <c r="N55" s="2179">
        <f>N56</f>
        <v>13765071</v>
      </c>
      <c r="O55" s="2180">
        <f t="shared" si="4"/>
        <v>88.655920065941885</v>
      </c>
      <c r="P55" s="839">
        <f>+P56+P57</f>
        <v>0</v>
      </c>
      <c r="Q55" s="2180">
        <f t="shared" si="5"/>
        <v>0</v>
      </c>
      <c r="R55" s="2181">
        <f t="shared" si="13"/>
        <v>-440257</v>
      </c>
      <c r="S55" s="2989"/>
      <c r="T55" s="2111">
        <f t="shared" si="14"/>
        <v>0</v>
      </c>
      <c r="U55" s="2194"/>
    </row>
    <row r="56" spans="1:21" s="262" customFormat="1" ht="14.25" customHeight="1" x14ac:dyDescent="0.2">
      <c r="A56" s="3209"/>
      <c r="B56" s="2185" t="s">
        <v>8</v>
      </c>
      <c r="C56" s="3215"/>
      <c r="D56" s="701">
        <f>+E56+F56+G56+H56</f>
        <v>15526398</v>
      </c>
      <c r="E56" s="699">
        <f>2167528+8358235</f>
        <v>10525763</v>
      </c>
      <c r="F56" s="699">
        <v>3239607</v>
      </c>
      <c r="G56" s="699">
        <v>1761028</v>
      </c>
      <c r="H56" s="700">
        <v>0</v>
      </c>
      <c r="I56" s="701">
        <f>+J56+K56+L56+M56</f>
        <v>15526099</v>
      </c>
      <c r="J56" s="699">
        <f>2167528+8358235</f>
        <v>10525763</v>
      </c>
      <c r="K56" s="2192">
        <v>3239308</v>
      </c>
      <c r="L56" s="699">
        <v>1761028</v>
      </c>
      <c r="M56" s="1358">
        <v>0</v>
      </c>
      <c r="N56" s="848">
        <f>K56+P56+J56</f>
        <v>13765071</v>
      </c>
      <c r="O56" s="2187">
        <f t="shared" si="4"/>
        <v>88.655920065941885</v>
      </c>
      <c r="P56" s="699">
        <v>0</v>
      </c>
      <c r="Q56" s="2187">
        <f t="shared" si="5"/>
        <v>0</v>
      </c>
      <c r="R56" s="2188">
        <f t="shared" si="13"/>
        <v>-440257</v>
      </c>
      <c r="S56" s="2989"/>
      <c r="T56" s="2111">
        <f t="shared" si="14"/>
        <v>0</v>
      </c>
      <c r="U56" s="2196"/>
    </row>
    <row r="57" spans="1:21" s="262" customFormat="1" ht="12" hidden="1" customHeight="1" x14ac:dyDescent="0.2">
      <c r="A57" s="3209"/>
      <c r="B57" s="2185" t="s">
        <v>223</v>
      </c>
      <c r="C57" s="3215"/>
      <c r="D57" s="701" t="e">
        <f>+E57+F57+G57+#REF!+#REF!+#REF!</f>
        <v>#REF!</v>
      </c>
      <c r="E57" s="699"/>
      <c r="F57" s="699"/>
      <c r="G57" s="699"/>
      <c r="H57" s="700"/>
      <c r="I57" s="701" t="e">
        <f>+J57+K57+L57+#REF!+#REF!+#REF!</f>
        <v>#REF!</v>
      </c>
      <c r="J57" s="699"/>
      <c r="K57" s="2184">
        <v>0</v>
      </c>
      <c r="L57" s="699"/>
      <c r="M57" s="1358"/>
      <c r="N57" s="848"/>
      <c r="O57" s="2187" t="e">
        <f t="shared" si="4"/>
        <v>#REF!</v>
      </c>
      <c r="P57" s="699">
        <v>0</v>
      </c>
      <c r="Q57" s="2187" t="e">
        <f t="shared" si="5"/>
        <v>#DIV/0!</v>
      </c>
      <c r="R57" s="2188">
        <f t="shared" si="13"/>
        <v>0</v>
      </c>
      <c r="S57" s="2989"/>
      <c r="T57" s="2111">
        <f t="shared" si="14"/>
        <v>0</v>
      </c>
      <c r="U57" s="2194"/>
    </row>
    <row r="58" spans="1:21" s="262" customFormat="1" ht="15" customHeight="1" x14ac:dyDescent="0.2">
      <c r="A58" s="3209"/>
      <c r="B58" s="1383" t="s">
        <v>13</v>
      </c>
      <c r="C58" s="3215"/>
      <c r="D58" s="837">
        <f t="shared" ref="D58:H58" si="68">+D59</f>
        <v>14069028</v>
      </c>
      <c r="E58" s="839">
        <f t="shared" si="68"/>
        <v>10525763</v>
      </c>
      <c r="F58" s="839">
        <f t="shared" si="68"/>
        <v>1945825</v>
      </c>
      <c r="G58" s="839">
        <f t="shared" si="68"/>
        <v>1597440</v>
      </c>
      <c r="H58" s="2177">
        <f t="shared" si="68"/>
        <v>0</v>
      </c>
      <c r="I58" s="837">
        <f t="shared" ref="I58:M58" si="69">+I59</f>
        <v>14068730</v>
      </c>
      <c r="J58" s="839">
        <f t="shared" si="69"/>
        <v>10525763</v>
      </c>
      <c r="K58" s="821">
        <f>+K59+K60</f>
        <v>1945527</v>
      </c>
      <c r="L58" s="839">
        <f t="shared" si="69"/>
        <v>1597440</v>
      </c>
      <c r="M58" s="2178">
        <f t="shared" si="69"/>
        <v>0</v>
      </c>
      <c r="N58" s="2179">
        <f>N59</f>
        <v>12471290</v>
      </c>
      <c r="O58" s="2180">
        <f t="shared" si="4"/>
        <v>88.643579357436778</v>
      </c>
      <c r="P58" s="839">
        <f>+P59</f>
        <v>0</v>
      </c>
      <c r="Q58" s="2180">
        <f t="shared" si="5"/>
        <v>0</v>
      </c>
      <c r="R58" s="2181">
        <f t="shared" si="13"/>
        <v>-399360</v>
      </c>
      <c r="S58" s="2989"/>
      <c r="T58" s="2111">
        <f t="shared" si="14"/>
        <v>0</v>
      </c>
      <c r="U58" s="2196"/>
    </row>
    <row r="59" spans="1:21" s="262" customFormat="1" ht="15" customHeight="1" thickBot="1" x14ac:dyDescent="0.25">
      <c r="A59" s="3209"/>
      <c r="B59" s="2185" t="s">
        <v>15</v>
      </c>
      <c r="C59" s="3216"/>
      <c r="D59" s="722">
        <f>+E59+F59+G59+H59</f>
        <v>14069028</v>
      </c>
      <c r="E59" s="720">
        <f>2167528+8358235</f>
        <v>10525763</v>
      </c>
      <c r="F59" s="720">
        <v>1945825</v>
      </c>
      <c r="G59" s="720">
        <v>1597440</v>
      </c>
      <c r="H59" s="761">
        <v>0</v>
      </c>
      <c r="I59" s="722">
        <f>+J59+K59+L59+M59</f>
        <v>14068730</v>
      </c>
      <c r="J59" s="720">
        <f>2167528+8358235</f>
        <v>10525763</v>
      </c>
      <c r="K59" s="2186">
        <v>1945527</v>
      </c>
      <c r="L59" s="720">
        <v>1597440</v>
      </c>
      <c r="M59" s="1116">
        <v>0</v>
      </c>
      <c r="N59" s="1359">
        <f>K59+P59+J59</f>
        <v>12471290</v>
      </c>
      <c r="O59" s="723">
        <f t="shared" si="4"/>
        <v>88.643579357436778</v>
      </c>
      <c r="P59" s="720">
        <v>0</v>
      </c>
      <c r="Q59" s="723">
        <f t="shared" si="5"/>
        <v>0</v>
      </c>
      <c r="R59" s="2217">
        <f t="shared" si="13"/>
        <v>-399360</v>
      </c>
      <c r="S59" s="2990"/>
      <c r="T59" s="2111">
        <f t="shared" si="14"/>
        <v>0</v>
      </c>
      <c r="U59" s="2194"/>
    </row>
    <row r="60" spans="1:21" s="262" customFormat="1" ht="66" customHeight="1" x14ac:dyDescent="0.2">
      <c r="A60" s="3208" t="s">
        <v>48</v>
      </c>
      <c r="B60" s="2160" t="s">
        <v>229</v>
      </c>
      <c r="C60" s="2161" t="s">
        <v>225</v>
      </c>
      <c r="D60" s="2162"/>
      <c r="E60" s="2163"/>
      <c r="F60" s="2163"/>
      <c r="G60" s="2163"/>
      <c r="H60" s="2164"/>
      <c r="I60" s="2162"/>
      <c r="J60" s="2163"/>
      <c r="K60" s="2163"/>
      <c r="L60" s="2163"/>
      <c r="M60" s="2164"/>
      <c r="N60" s="2211"/>
      <c r="O60" s="2163"/>
      <c r="P60" s="2163"/>
      <c r="Q60" s="2163"/>
      <c r="R60" s="2168"/>
      <c r="S60" s="3201" t="s">
        <v>230</v>
      </c>
      <c r="T60" s="2111">
        <f t="shared" si="14"/>
        <v>0</v>
      </c>
    </row>
    <row r="61" spans="1:21" s="262" customFormat="1" ht="15.75" customHeight="1" x14ac:dyDescent="0.2">
      <c r="A61" s="3209"/>
      <c r="B61" s="683" t="s">
        <v>3</v>
      </c>
      <c r="C61" s="2193"/>
      <c r="D61" s="711">
        <f t="shared" ref="D61" si="70">+D62+D65</f>
        <v>9327265</v>
      </c>
      <c r="E61" s="686">
        <f>+E62+E65</f>
        <v>5630738</v>
      </c>
      <c r="F61" s="686">
        <f>+F62+F65</f>
        <v>3696527</v>
      </c>
      <c r="G61" s="738">
        <f t="shared" ref="G61:H61" si="71">+G62+G65</f>
        <v>0</v>
      </c>
      <c r="H61" s="687">
        <f t="shared" si="71"/>
        <v>0</v>
      </c>
      <c r="I61" s="711">
        <f t="shared" ref="I61:M61" si="72">+I62+I65</f>
        <v>9327265</v>
      </c>
      <c r="J61" s="686">
        <f>+J62+J65</f>
        <v>5630738</v>
      </c>
      <c r="K61" s="686">
        <f>+K62+K65</f>
        <v>3696527</v>
      </c>
      <c r="L61" s="686">
        <f t="shared" si="72"/>
        <v>0</v>
      </c>
      <c r="M61" s="2172">
        <f t="shared" si="72"/>
        <v>0</v>
      </c>
      <c r="N61" s="2173">
        <f>N62+N65</f>
        <v>9327265</v>
      </c>
      <c r="O61" s="712">
        <f t="shared" si="4"/>
        <v>100</v>
      </c>
      <c r="P61" s="738">
        <f>+P62+P65</f>
        <v>0</v>
      </c>
      <c r="Q61" s="738">
        <v>0</v>
      </c>
      <c r="R61" s="2218">
        <f t="shared" si="13"/>
        <v>0</v>
      </c>
      <c r="S61" s="3202"/>
      <c r="T61" s="2111">
        <f t="shared" si="14"/>
        <v>0</v>
      </c>
    </row>
    <row r="62" spans="1:21" s="262" customFormat="1" ht="15.75" customHeight="1" x14ac:dyDescent="0.2">
      <c r="A62" s="3209"/>
      <c r="B62" s="2176" t="s">
        <v>4</v>
      </c>
      <c r="C62" s="3219" t="s">
        <v>231</v>
      </c>
      <c r="D62" s="837">
        <f>+D64</f>
        <v>2331816</v>
      </c>
      <c r="E62" s="839">
        <f>SUM(E63:E64)</f>
        <v>1407684</v>
      </c>
      <c r="F62" s="839">
        <f>SUM(F63:F64)</f>
        <v>924132</v>
      </c>
      <c r="G62" s="2219">
        <f>SUM(G63:G64)</f>
        <v>0</v>
      </c>
      <c r="H62" s="2177">
        <f>SUM(H63:H64)</f>
        <v>0</v>
      </c>
      <c r="I62" s="837">
        <f>+I64</f>
        <v>2331816</v>
      </c>
      <c r="J62" s="839">
        <f>SUM(J63:J64)</f>
        <v>1407684</v>
      </c>
      <c r="K62" s="839">
        <f>SUM(K63:K64)</f>
        <v>924132</v>
      </c>
      <c r="L62" s="839">
        <f>SUM(L63:L64)</f>
        <v>0</v>
      </c>
      <c r="M62" s="2178">
        <f>SUM(M63:M64)</f>
        <v>0</v>
      </c>
      <c r="N62" s="2179">
        <f>SUM(N63:N64)</f>
        <v>2331816</v>
      </c>
      <c r="O62" s="2180">
        <f t="shared" si="4"/>
        <v>100</v>
      </c>
      <c r="P62" s="2219">
        <f>SUM(P63:P64)</f>
        <v>0</v>
      </c>
      <c r="Q62" s="2220">
        <v>0</v>
      </c>
      <c r="R62" s="2221">
        <f t="shared" si="13"/>
        <v>0</v>
      </c>
      <c r="S62" s="3202"/>
      <c r="T62" s="2111">
        <f t="shared" si="14"/>
        <v>0</v>
      </c>
    </row>
    <row r="63" spans="1:21" s="262" customFormat="1" ht="12" hidden="1" customHeight="1" x14ac:dyDescent="0.2">
      <c r="A63" s="3209"/>
      <c r="B63" s="696" t="s">
        <v>5</v>
      </c>
      <c r="C63" s="3220"/>
      <c r="D63" s="2183" t="e">
        <f>+E63+F63+G63+#REF!+#REF!+#REF!</f>
        <v>#REF!</v>
      </c>
      <c r="E63" s="492">
        <v>0</v>
      </c>
      <c r="F63" s="492">
        <v>0</v>
      </c>
      <c r="G63" s="1235">
        <v>0</v>
      </c>
      <c r="H63" s="1236"/>
      <c r="I63" s="2183" t="e">
        <f>+J63+K63+L63+#REF!+#REF!+#REF!</f>
        <v>#REF!</v>
      </c>
      <c r="J63" s="492">
        <v>0</v>
      </c>
      <c r="K63" s="492">
        <v>0</v>
      </c>
      <c r="L63" s="492">
        <v>0</v>
      </c>
      <c r="M63" s="1415"/>
      <c r="N63" s="2222"/>
      <c r="O63" s="2223" t="e">
        <f t="shared" si="4"/>
        <v>#REF!</v>
      </c>
      <c r="P63" s="1600"/>
      <c r="Q63" s="1600" t="e">
        <f t="shared" si="5"/>
        <v>#DIV/0!</v>
      </c>
      <c r="R63" s="1235">
        <f t="shared" si="13"/>
        <v>0</v>
      </c>
      <c r="S63" s="3202"/>
      <c r="T63" s="2111">
        <f t="shared" si="14"/>
        <v>0</v>
      </c>
    </row>
    <row r="64" spans="1:21" s="262" customFormat="1" ht="15" customHeight="1" x14ac:dyDescent="0.2">
      <c r="A64" s="3209"/>
      <c r="B64" s="2185" t="s">
        <v>8</v>
      </c>
      <c r="C64" s="3220"/>
      <c r="D64" s="701">
        <f>+E64+F64+G64+H64</f>
        <v>2331816</v>
      </c>
      <c r="E64" s="699">
        <v>1407684</v>
      </c>
      <c r="F64" s="699">
        <v>924132</v>
      </c>
      <c r="G64" s="698">
        <v>0</v>
      </c>
      <c r="H64" s="700">
        <v>0</v>
      </c>
      <c r="I64" s="701">
        <f>+J64+K64+L64+M64</f>
        <v>2331816</v>
      </c>
      <c r="J64" s="699">
        <v>1407684</v>
      </c>
      <c r="K64" s="699">
        <v>924132</v>
      </c>
      <c r="L64" s="699"/>
      <c r="M64" s="1358">
        <v>0</v>
      </c>
      <c r="N64" s="848">
        <f>K64+P64+J64</f>
        <v>2331816</v>
      </c>
      <c r="O64" s="2187">
        <f t="shared" si="4"/>
        <v>100</v>
      </c>
      <c r="P64" s="698">
        <v>0</v>
      </c>
      <c r="Q64" s="698">
        <v>0</v>
      </c>
      <c r="R64" s="2224">
        <f t="shared" si="13"/>
        <v>0</v>
      </c>
      <c r="S64" s="3202"/>
      <c r="T64" s="2111">
        <f t="shared" si="14"/>
        <v>0</v>
      </c>
    </row>
    <row r="65" spans="1:21" s="262" customFormat="1" ht="15" customHeight="1" x14ac:dyDescent="0.2">
      <c r="A65" s="3209"/>
      <c r="B65" s="2225" t="s">
        <v>13</v>
      </c>
      <c r="C65" s="3220"/>
      <c r="D65" s="837">
        <f t="shared" ref="D65:H65" si="73">+D66</f>
        <v>6995449</v>
      </c>
      <c r="E65" s="839">
        <f t="shared" si="73"/>
        <v>4223054</v>
      </c>
      <c r="F65" s="839">
        <f t="shared" si="73"/>
        <v>2772395</v>
      </c>
      <c r="G65" s="2219">
        <f t="shared" si="73"/>
        <v>0</v>
      </c>
      <c r="H65" s="2177">
        <f t="shared" si="73"/>
        <v>0</v>
      </c>
      <c r="I65" s="837">
        <f t="shared" ref="I65:N65" si="74">+I66</f>
        <v>6995449</v>
      </c>
      <c r="J65" s="839">
        <f t="shared" si="74"/>
        <v>4223054</v>
      </c>
      <c r="K65" s="839">
        <f t="shared" si="74"/>
        <v>2772395</v>
      </c>
      <c r="L65" s="839">
        <f t="shared" si="74"/>
        <v>0</v>
      </c>
      <c r="M65" s="2178">
        <f t="shared" si="74"/>
        <v>0</v>
      </c>
      <c r="N65" s="2179">
        <f t="shared" si="74"/>
        <v>6995449</v>
      </c>
      <c r="O65" s="2180">
        <f t="shared" si="4"/>
        <v>100</v>
      </c>
      <c r="P65" s="2219">
        <f>+P66</f>
        <v>0</v>
      </c>
      <c r="Q65" s="2220">
        <v>0</v>
      </c>
      <c r="R65" s="2221">
        <f t="shared" si="13"/>
        <v>0</v>
      </c>
      <c r="S65" s="3202"/>
      <c r="T65" s="2111">
        <f t="shared" si="14"/>
        <v>0</v>
      </c>
    </row>
    <row r="66" spans="1:21" s="262" customFormat="1" ht="15" customHeight="1" x14ac:dyDescent="0.2">
      <c r="A66" s="3209"/>
      <c r="B66" s="696" t="s">
        <v>15</v>
      </c>
      <c r="C66" s="3220"/>
      <c r="D66" s="701">
        <f>+E66+F66+G66+H66</f>
        <v>6995449</v>
      </c>
      <c r="E66" s="699">
        <v>4223054</v>
      </c>
      <c r="F66" s="699">
        <v>2772395</v>
      </c>
      <c r="G66" s="698">
        <v>0</v>
      </c>
      <c r="H66" s="700">
        <v>0</v>
      </c>
      <c r="I66" s="701">
        <f>+J66+K66+L66+M66</f>
        <v>6995449</v>
      </c>
      <c r="J66" s="699">
        <v>4223054</v>
      </c>
      <c r="K66" s="699">
        <v>2772395</v>
      </c>
      <c r="L66" s="699"/>
      <c r="M66" s="1358">
        <v>0</v>
      </c>
      <c r="N66" s="848">
        <f>K66+P66+J66</f>
        <v>6995449</v>
      </c>
      <c r="O66" s="2187">
        <f t="shared" si="4"/>
        <v>100</v>
      </c>
      <c r="P66" s="698">
        <v>0</v>
      </c>
      <c r="Q66" s="1352">
        <v>0</v>
      </c>
      <c r="R66" s="2224">
        <f t="shared" si="13"/>
        <v>0</v>
      </c>
      <c r="S66" s="3202"/>
      <c r="T66" s="2111">
        <f t="shared" si="14"/>
        <v>0</v>
      </c>
    </row>
    <row r="67" spans="1:21" s="262" customFormat="1" ht="15" customHeight="1" x14ac:dyDescent="0.2">
      <c r="A67" s="3209"/>
      <c r="B67" s="683" t="s">
        <v>17</v>
      </c>
      <c r="C67" s="2193"/>
      <c r="D67" s="711">
        <f t="shared" ref="D67" si="75">+D68+D71</f>
        <v>9327265</v>
      </c>
      <c r="E67" s="686">
        <f>+E68+E71</f>
        <v>9327265</v>
      </c>
      <c r="F67" s="686">
        <f>+F68+F71</f>
        <v>0</v>
      </c>
      <c r="G67" s="738">
        <f t="shared" ref="G67:H67" si="76">+G68+G71</f>
        <v>0</v>
      </c>
      <c r="H67" s="687">
        <f t="shared" si="76"/>
        <v>0</v>
      </c>
      <c r="I67" s="711">
        <f t="shared" ref="I67:N67" si="77">+I68+I71</f>
        <v>9327265</v>
      </c>
      <c r="J67" s="686">
        <f>+J68+J71</f>
        <v>9327265</v>
      </c>
      <c r="K67" s="738">
        <f>+K68+K71</f>
        <v>0</v>
      </c>
      <c r="L67" s="686">
        <f t="shared" si="77"/>
        <v>0</v>
      </c>
      <c r="M67" s="2172">
        <f t="shared" si="77"/>
        <v>0</v>
      </c>
      <c r="N67" s="2173">
        <f t="shared" si="77"/>
        <v>9327265</v>
      </c>
      <c r="O67" s="712">
        <f t="shared" si="4"/>
        <v>100</v>
      </c>
      <c r="P67" s="738">
        <f>+P68+P71</f>
        <v>0</v>
      </c>
      <c r="Q67" s="738">
        <v>0</v>
      </c>
      <c r="R67" s="2218">
        <f t="shared" si="13"/>
        <v>0</v>
      </c>
      <c r="S67" s="3202"/>
      <c r="T67" s="2111">
        <f t="shared" si="14"/>
        <v>0</v>
      </c>
    </row>
    <row r="68" spans="1:21" s="262" customFormat="1" ht="15" customHeight="1" x14ac:dyDescent="0.2">
      <c r="A68" s="3209"/>
      <c r="B68" s="2176" t="s">
        <v>4</v>
      </c>
      <c r="C68" s="498"/>
      <c r="D68" s="837">
        <f>+D69</f>
        <v>2331816</v>
      </c>
      <c r="E68" s="839">
        <f>+E69+E70</f>
        <v>2331816</v>
      </c>
      <c r="F68" s="839">
        <f>+F69+F70</f>
        <v>0</v>
      </c>
      <c r="G68" s="2219">
        <f>+G69+G70</f>
        <v>0</v>
      </c>
      <c r="H68" s="2177">
        <f>+H69+H70</f>
        <v>0</v>
      </c>
      <c r="I68" s="837">
        <f>+I69</f>
        <v>2331816</v>
      </c>
      <c r="J68" s="839">
        <f>+J69+J70</f>
        <v>2331816</v>
      </c>
      <c r="K68" s="2219">
        <f>+K69+K70</f>
        <v>0</v>
      </c>
      <c r="L68" s="839">
        <f>+L69+L70</f>
        <v>0</v>
      </c>
      <c r="M68" s="2178">
        <f>+M69+M70</f>
        <v>0</v>
      </c>
      <c r="N68" s="2179">
        <f>+N69+N70</f>
        <v>2331816</v>
      </c>
      <c r="O68" s="2180">
        <f t="shared" si="4"/>
        <v>100</v>
      </c>
      <c r="P68" s="2219">
        <f>+P69+P70</f>
        <v>0</v>
      </c>
      <c r="Q68" s="2220">
        <v>0</v>
      </c>
      <c r="R68" s="2221">
        <f t="shared" si="13"/>
        <v>0</v>
      </c>
      <c r="S68" s="3202"/>
      <c r="T68" s="2111">
        <f t="shared" si="14"/>
        <v>0</v>
      </c>
    </row>
    <row r="69" spans="1:21" s="262" customFormat="1" ht="15" customHeight="1" x14ac:dyDescent="0.2">
      <c r="A69" s="3209"/>
      <c r="B69" s="2185" t="s">
        <v>8</v>
      </c>
      <c r="C69" s="498"/>
      <c r="D69" s="701">
        <f>+E69+F69+G69+H69</f>
        <v>2331816</v>
      </c>
      <c r="E69" s="699">
        <v>2331816</v>
      </c>
      <c r="F69" s="699">
        <v>0</v>
      </c>
      <c r="G69" s="698">
        <v>0</v>
      </c>
      <c r="H69" s="700">
        <v>0</v>
      </c>
      <c r="I69" s="701">
        <f>+J69+K69+L69+M69</f>
        <v>2331816</v>
      </c>
      <c r="J69" s="699">
        <v>2331816</v>
      </c>
      <c r="K69" s="698">
        <v>0</v>
      </c>
      <c r="L69" s="699">
        <v>0</v>
      </c>
      <c r="M69" s="1358">
        <v>0</v>
      </c>
      <c r="N69" s="848">
        <f>K69+P69+J69</f>
        <v>2331816</v>
      </c>
      <c r="O69" s="2187">
        <f t="shared" si="4"/>
        <v>100</v>
      </c>
      <c r="P69" s="698">
        <v>0</v>
      </c>
      <c r="Q69" s="1352">
        <v>0</v>
      </c>
      <c r="R69" s="2224">
        <f t="shared" si="13"/>
        <v>0</v>
      </c>
      <c r="S69" s="3202"/>
      <c r="T69" s="2111">
        <f t="shared" si="14"/>
        <v>0</v>
      </c>
    </row>
    <row r="70" spans="1:21" s="262" customFormat="1" ht="12" hidden="1" customHeight="1" x14ac:dyDescent="0.2">
      <c r="A70" s="3209"/>
      <c r="B70" s="696" t="s">
        <v>223</v>
      </c>
      <c r="C70" s="498"/>
      <c r="D70" s="2183" t="e">
        <f>+E70+F70+G70+#REF!+#REF!+#REF!</f>
        <v>#REF!</v>
      </c>
      <c r="E70" s="492">
        <v>0</v>
      </c>
      <c r="F70" s="492">
        <v>0</v>
      </c>
      <c r="G70" s="1235">
        <v>0</v>
      </c>
      <c r="H70" s="1236"/>
      <c r="I70" s="2183" t="e">
        <f>+J70+K70+L70+#REF!+#REF!+#REF!</f>
        <v>#REF!</v>
      </c>
      <c r="J70" s="492">
        <v>0</v>
      </c>
      <c r="K70" s="1235">
        <v>0</v>
      </c>
      <c r="L70" s="492">
        <v>0</v>
      </c>
      <c r="M70" s="1415"/>
      <c r="N70" s="2222"/>
      <c r="O70" s="2223" t="e">
        <f t="shared" si="4"/>
        <v>#REF!</v>
      </c>
      <c r="P70" s="1600"/>
      <c r="Q70" s="1600" t="e">
        <f t="shared" si="5"/>
        <v>#DIV/0!</v>
      </c>
      <c r="R70" s="1235">
        <f t="shared" si="13"/>
        <v>0</v>
      </c>
      <c r="S70" s="3202"/>
      <c r="T70" s="2111">
        <f t="shared" si="14"/>
        <v>0</v>
      </c>
    </row>
    <row r="71" spans="1:21" s="262" customFormat="1" ht="15" customHeight="1" x14ac:dyDescent="0.2">
      <c r="A71" s="3209"/>
      <c r="B71" s="2225" t="s">
        <v>13</v>
      </c>
      <c r="C71" s="498"/>
      <c r="D71" s="837">
        <f t="shared" ref="D71:H71" si="78">+D72+D127</f>
        <v>6995449</v>
      </c>
      <c r="E71" s="839">
        <f t="shared" si="78"/>
        <v>6995449</v>
      </c>
      <c r="F71" s="839">
        <f t="shared" si="78"/>
        <v>0</v>
      </c>
      <c r="G71" s="2219">
        <f t="shared" si="78"/>
        <v>0</v>
      </c>
      <c r="H71" s="2177">
        <f t="shared" si="78"/>
        <v>0</v>
      </c>
      <c r="I71" s="837">
        <f t="shared" ref="I71:N71" si="79">+I72+I127</f>
        <v>6995449</v>
      </c>
      <c r="J71" s="839">
        <f t="shared" si="79"/>
        <v>6995449</v>
      </c>
      <c r="K71" s="2219">
        <f t="shared" si="79"/>
        <v>0</v>
      </c>
      <c r="L71" s="839">
        <f t="shared" si="79"/>
        <v>0</v>
      </c>
      <c r="M71" s="2178">
        <f t="shared" si="79"/>
        <v>0</v>
      </c>
      <c r="N71" s="2179">
        <f t="shared" si="79"/>
        <v>6995449</v>
      </c>
      <c r="O71" s="2180">
        <f t="shared" si="4"/>
        <v>100</v>
      </c>
      <c r="P71" s="2219">
        <f>+P72+P127</f>
        <v>0</v>
      </c>
      <c r="Q71" s="2220">
        <v>0</v>
      </c>
      <c r="R71" s="2221">
        <f t="shared" si="13"/>
        <v>0</v>
      </c>
      <c r="S71" s="3202"/>
      <c r="T71" s="2111">
        <f t="shared" si="14"/>
        <v>0</v>
      </c>
    </row>
    <row r="72" spans="1:21" s="262" customFormat="1" ht="15" customHeight="1" thickBot="1" x14ac:dyDescent="0.25">
      <c r="A72" s="3217"/>
      <c r="B72" s="780" t="s">
        <v>15</v>
      </c>
      <c r="C72" s="2226"/>
      <c r="D72" s="722">
        <f>+E72+F72+G72+H72</f>
        <v>6995449</v>
      </c>
      <c r="E72" s="720">
        <v>6995449</v>
      </c>
      <c r="F72" s="720">
        <v>0</v>
      </c>
      <c r="G72" s="719">
        <v>0</v>
      </c>
      <c r="H72" s="761">
        <v>0</v>
      </c>
      <c r="I72" s="722">
        <f>+J72+K72+L72+M72</f>
        <v>6995449</v>
      </c>
      <c r="J72" s="720">
        <v>6995449</v>
      </c>
      <c r="K72" s="719">
        <v>0</v>
      </c>
      <c r="L72" s="720">
        <v>0</v>
      </c>
      <c r="M72" s="1116">
        <v>0</v>
      </c>
      <c r="N72" s="1359">
        <f>K72+P72+J72</f>
        <v>6995449</v>
      </c>
      <c r="O72" s="723">
        <f t="shared" si="4"/>
        <v>100</v>
      </c>
      <c r="P72" s="719">
        <v>0</v>
      </c>
      <c r="Q72" s="719">
        <v>0</v>
      </c>
      <c r="R72" s="2227">
        <f t="shared" si="13"/>
        <v>0</v>
      </c>
      <c r="S72" s="3218"/>
      <c r="T72" s="2111">
        <f t="shared" si="14"/>
        <v>0</v>
      </c>
    </row>
    <row r="73" spans="1:21" ht="40.5" customHeight="1" x14ac:dyDescent="0.2">
      <c r="A73" s="3221" t="s">
        <v>49</v>
      </c>
      <c r="B73" s="2228" t="s">
        <v>232</v>
      </c>
      <c r="C73" s="2229" t="s">
        <v>233</v>
      </c>
      <c r="D73" s="2230"/>
      <c r="E73" s="2231"/>
      <c r="F73" s="2231"/>
      <c r="G73" s="2231"/>
      <c r="H73" s="2232"/>
      <c r="I73" s="2230"/>
      <c r="J73" s="2231"/>
      <c r="K73" s="2231"/>
      <c r="L73" s="2231"/>
      <c r="M73" s="2232"/>
      <c r="N73" s="2233"/>
      <c r="O73" s="2234"/>
      <c r="P73" s="2235"/>
      <c r="Q73" s="2234"/>
      <c r="R73" s="2236"/>
      <c r="S73" s="2814" t="s">
        <v>234</v>
      </c>
      <c r="T73" s="2111">
        <f t="shared" si="14"/>
        <v>0</v>
      </c>
    </row>
    <row r="74" spans="1:21" ht="12.95" customHeight="1" x14ac:dyDescent="0.2">
      <c r="A74" s="3222"/>
      <c r="B74" s="787" t="s">
        <v>3</v>
      </c>
      <c r="C74" s="2193"/>
      <c r="D74" s="711">
        <f t="shared" ref="D74:H74" si="80">+D75+D79</f>
        <v>6735363</v>
      </c>
      <c r="E74" s="686">
        <f t="shared" si="80"/>
        <v>1219363</v>
      </c>
      <c r="F74" s="686">
        <f t="shared" si="80"/>
        <v>1470000</v>
      </c>
      <c r="G74" s="686">
        <f t="shared" si="80"/>
        <v>1446000</v>
      </c>
      <c r="H74" s="2172">
        <f t="shared" si="80"/>
        <v>2600000</v>
      </c>
      <c r="I74" s="711">
        <f t="shared" ref="I74:M74" si="81">+I75+I79</f>
        <v>6607554.0800000001</v>
      </c>
      <c r="J74" s="686">
        <f t="shared" si="81"/>
        <v>1219363</v>
      </c>
      <c r="K74" s="686">
        <f t="shared" si="81"/>
        <v>1342191.08</v>
      </c>
      <c r="L74" s="686">
        <f t="shared" si="81"/>
        <v>1446000</v>
      </c>
      <c r="M74" s="2172">
        <f t="shared" si="81"/>
        <v>2600000</v>
      </c>
      <c r="N74" s="2173">
        <f>N75+N79</f>
        <v>2867256.08</v>
      </c>
      <c r="O74" s="712">
        <f t="shared" ref="O74:O137" si="82">N74/D74*100</f>
        <v>42.570178919829566</v>
      </c>
      <c r="P74" s="686">
        <f>+P75+P79</f>
        <v>305702</v>
      </c>
      <c r="Q74" s="712">
        <f t="shared" ref="Q74:Q137" si="83">P74/G74*100</f>
        <v>21.141217150760721</v>
      </c>
      <c r="R74" s="2174">
        <f t="shared" si="13"/>
        <v>-55798</v>
      </c>
      <c r="S74" s="2989"/>
      <c r="T74" s="2111">
        <f t="shared" si="14"/>
        <v>0</v>
      </c>
      <c r="U74" s="2083">
        <f>N74-N82</f>
        <v>-11104</v>
      </c>
    </row>
    <row r="75" spans="1:21" ht="12.95" customHeight="1" x14ac:dyDescent="0.2">
      <c r="A75" s="3222"/>
      <c r="B75" s="2176" t="s">
        <v>4</v>
      </c>
      <c r="C75" s="3227" t="s">
        <v>231</v>
      </c>
      <c r="D75" s="837">
        <f>+D76+D78+D77</f>
        <v>1815363</v>
      </c>
      <c r="E75" s="839">
        <f>SUM(E76:E78)</f>
        <v>346363</v>
      </c>
      <c r="F75" s="839">
        <f>SUM(F76:F78)</f>
        <v>423000</v>
      </c>
      <c r="G75" s="839">
        <f>SUM(G76:G78)</f>
        <v>396000</v>
      </c>
      <c r="H75" s="2178">
        <f>SUM(H77:H78)</f>
        <v>650000</v>
      </c>
      <c r="I75" s="837">
        <f>+I76+I78+I77</f>
        <v>1767277.93</v>
      </c>
      <c r="J75" s="839">
        <f>SUM(J76:J78)</f>
        <v>346363</v>
      </c>
      <c r="K75" s="2237">
        <f>SUM(K76:K78)</f>
        <v>374914.93</v>
      </c>
      <c r="L75" s="839">
        <f>SUM(L76:L78)</f>
        <v>396000</v>
      </c>
      <c r="M75" s="2178">
        <f>SUM(M77:M78)</f>
        <v>650000</v>
      </c>
      <c r="N75" s="2179">
        <f>N76+N78+N77</f>
        <v>802528.92999999993</v>
      </c>
      <c r="O75" s="2180">
        <f t="shared" si="82"/>
        <v>44.207628446762435</v>
      </c>
      <c r="P75" s="2237">
        <f>P76+P78+P77</f>
        <v>81251</v>
      </c>
      <c r="Q75" s="2180">
        <f t="shared" si="83"/>
        <v>20.517929292929292</v>
      </c>
      <c r="R75" s="2191">
        <f t="shared" si="13"/>
        <v>-17749</v>
      </c>
      <c r="S75" s="2989"/>
      <c r="T75" s="2111">
        <f t="shared" si="14"/>
        <v>0</v>
      </c>
    </row>
    <row r="76" spans="1:21" ht="12.95" customHeight="1" x14ac:dyDescent="0.2">
      <c r="A76" s="3222"/>
      <c r="B76" s="696" t="s">
        <v>5</v>
      </c>
      <c r="C76" s="2971"/>
      <c r="D76" s="701">
        <f>+E76+F76+G76+H76</f>
        <v>43000</v>
      </c>
      <c r="E76" s="699">
        <f>18480-5188+29708</f>
        <v>43000</v>
      </c>
      <c r="F76" s="699">
        <v>0</v>
      </c>
      <c r="G76" s="698">
        <v>0</v>
      </c>
      <c r="H76" s="700">
        <v>0</v>
      </c>
      <c r="I76" s="701">
        <f>+J76+K76+L76+M76</f>
        <v>43000</v>
      </c>
      <c r="J76" s="699">
        <f>18480-5188+29708</f>
        <v>43000</v>
      </c>
      <c r="K76" s="699">
        <v>0</v>
      </c>
      <c r="L76" s="699">
        <v>0</v>
      </c>
      <c r="M76" s="1358">
        <v>0</v>
      </c>
      <c r="N76" s="848">
        <f>+J76+K76+P76</f>
        <v>43000</v>
      </c>
      <c r="O76" s="2187">
        <f t="shared" si="82"/>
        <v>100</v>
      </c>
      <c r="P76" s="698">
        <v>0</v>
      </c>
      <c r="Q76" s="1352">
        <v>0</v>
      </c>
      <c r="R76" s="2188">
        <f t="shared" ref="R76:R139" si="84">+P76-L76*0.25</f>
        <v>0</v>
      </c>
      <c r="S76" s="2989"/>
      <c r="T76" s="2111">
        <f t="shared" ref="T76:T104" si="85">J76+K76+P76-N76</f>
        <v>0</v>
      </c>
    </row>
    <row r="77" spans="1:21" ht="12.95" customHeight="1" x14ac:dyDescent="0.2">
      <c r="A77" s="3222"/>
      <c r="B77" s="2182" t="s">
        <v>8</v>
      </c>
      <c r="C77" s="2971"/>
      <c r="D77" s="701">
        <f>+E77+F77+G77+H77</f>
        <v>1655654</v>
      </c>
      <c r="E77" s="699">
        <v>186654</v>
      </c>
      <c r="F77" s="699">
        <v>423000</v>
      </c>
      <c r="G77" s="699">
        <f>396000</f>
        <v>396000</v>
      </c>
      <c r="H77" s="1358">
        <f>325000+325000</f>
        <v>650000</v>
      </c>
      <c r="I77" s="701">
        <f>+J77+K77+L77+M77</f>
        <v>1607568.93</v>
      </c>
      <c r="J77" s="699">
        <v>186654</v>
      </c>
      <c r="K77" s="2238">
        <f>385638.93-10724</f>
        <v>374914.93</v>
      </c>
      <c r="L77" s="699">
        <f>396000</f>
        <v>396000</v>
      </c>
      <c r="M77" s="1358">
        <f>325000+325000</f>
        <v>650000</v>
      </c>
      <c r="N77" s="848">
        <f>+J77+K77+P77</f>
        <v>642819.92999999993</v>
      </c>
      <c r="O77" s="2187">
        <f t="shared" si="82"/>
        <v>38.825740764676674</v>
      </c>
      <c r="P77" s="699">
        <v>81251</v>
      </c>
      <c r="Q77" s="2187">
        <f t="shared" si="83"/>
        <v>20.517929292929292</v>
      </c>
      <c r="R77" s="2188">
        <f t="shared" si="84"/>
        <v>-17749</v>
      </c>
      <c r="S77" s="2989"/>
      <c r="T77" s="2111">
        <f t="shared" si="85"/>
        <v>0</v>
      </c>
    </row>
    <row r="78" spans="1:21" ht="12.95" customHeight="1" x14ac:dyDescent="0.2">
      <c r="A78" s="3222"/>
      <c r="B78" s="696" t="s">
        <v>9</v>
      </c>
      <c r="C78" s="2971"/>
      <c r="D78" s="701">
        <f>+E78+F78+G78+H78</f>
        <v>116709</v>
      </c>
      <c r="E78" s="699">
        <f>4966+111743</f>
        <v>116709</v>
      </c>
      <c r="F78" s="699">
        <v>0</v>
      </c>
      <c r="G78" s="698">
        <v>0</v>
      </c>
      <c r="H78" s="700">
        <v>0</v>
      </c>
      <c r="I78" s="701">
        <f>+J78+K78+L78+M78</f>
        <v>116709</v>
      </c>
      <c r="J78" s="699">
        <f>4966+111743</f>
        <v>116709</v>
      </c>
      <c r="K78" s="699">
        <v>0</v>
      </c>
      <c r="L78" s="699">
        <v>0</v>
      </c>
      <c r="M78" s="1358">
        <v>0</v>
      </c>
      <c r="N78" s="848">
        <f>+J78+K78+P78</f>
        <v>116709</v>
      </c>
      <c r="O78" s="2187">
        <f t="shared" si="82"/>
        <v>100</v>
      </c>
      <c r="P78" s="698">
        <v>0</v>
      </c>
      <c r="Q78" s="1352">
        <v>0</v>
      </c>
      <c r="R78" s="2188">
        <f t="shared" si="84"/>
        <v>0</v>
      </c>
      <c r="S78" s="2989"/>
      <c r="T78" s="2111">
        <f t="shared" si="85"/>
        <v>0</v>
      </c>
    </row>
    <row r="79" spans="1:21" ht="12.95" customHeight="1" x14ac:dyDescent="0.2">
      <c r="A79" s="3222"/>
      <c r="B79" s="2176" t="s">
        <v>13</v>
      </c>
      <c r="C79" s="2971"/>
      <c r="D79" s="837">
        <f>+D81+D80</f>
        <v>4920000</v>
      </c>
      <c r="E79" s="839">
        <f>E81+E80</f>
        <v>873000</v>
      </c>
      <c r="F79" s="839">
        <f>F81+F80</f>
        <v>1047000</v>
      </c>
      <c r="G79" s="839">
        <f>G81+G80</f>
        <v>1050000</v>
      </c>
      <c r="H79" s="2178">
        <f>H81+H80</f>
        <v>1950000</v>
      </c>
      <c r="I79" s="837">
        <f>+I81+I80</f>
        <v>4840276.1500000004</v>
      </c>
      <c r="J79" s="839">
        <f>J81+J80</f>
        <v>873000</v>
      </c>
      <c r="K79" s="2237">
        <f>K81+K80</f>
        <v>967276.15</v>
      </c>
      <c r="L79" s="839">
        <f>L81+L80</f>
        <v>1050000</v>
      </c>
      <c r="M79" s="2178">
        <f>M81+M80</f>
        <v>1950000</v>
      </c>
      <c r="N79" s="2179">
        <f>N81+N80</f>
        <v>2064727.15</v>
      </c>
      <c r="O79" s="2180">
        <f t="shared" si="82"/>
        <v>41.96599898373983</v>
      </c>
      <c r="P79" s="2237">
        <f>P81+P80</f>
        <v>224451</v>
      </c>
      <c r="Q79" s="2180">
        <f t="shared" si="83"/>
        <v>21.376285714285714</v>
      </c>
      <c r="R79" s="2181">
        <f t="shared" si="84"/>
        <v>-38049</v>
      </c>
      <c r="S79" s="2989"/>
      <c r="T79" s="2111">
        <f t="shared" si="85"/>
        <v>0</v>
      </c>
    </row>
    <row r="80" spans="1:21" ht="12.95" customHeight="1" x14ac:dyDescent="0.2">
      <c r="A80" s="3222"/>
      <c r="B80" s="696" t="s">
        <v>15</v>
      </c>
      <c r="C80" s="2971"/>
      <c r="D80" s="701">
        <f>+E80+F80+G80+H80</f>
        <v>4606040</v>
      </c>
      <c r="E80" s="699">
        <v>559040</v>
      </c>
      <c r="F80" s="699">
        <v>1047000</v>
      </c>
      <c r="G80" s="699">
        <v>1050000</v>
      </c>
      <c r="H80" s="1358">
        <f>975000+975000</f>
        <v>1950000</v>
      </c>
      <c r="I80" s="701">
        <f>+J80+K80+L80+M80</f>
        <v>4526316.1500000004</v>
      </c>
      <c r="J80" s="699">
        <v>559040</v>
      </c>
      <c r="K80" s="2239">
        <f>984032.15-16756</f>
        <v>967276.15</v>
      </c>
      <c r="L80" s="699">
        <v>1050000</v>
      </c>
      <c r="M80" s="1358">
        <f>975000+975000</f>
        <v>1950000</v>
      </c>
      <c r="N80" s="848">
        <f>+J80+K80+P80</f>
        <v>1750767.15</v>
      </c>
      <c r="O80" s="2187">
        <f t="shared" si="82"/>
        <v>38.010246328733572</v>
      </c>
      <c r="P80" s="699">
        <v>224451</v>
      </c>
      <c r="Q80" s="2187">
        <f t="shared" si="83"/>
        <v>21.376285714285714</v>
      </c>
      <c r="R80" s="2188">
        <f t="shared" si="84"/>
        <v>-38049</v>
      </c>
      <c r="S80" s="2989"/>
      <c r="T80" s="2111">
        <f t="shared" si="85"/>
        <v>0</v>
      </c>
    </row>
    <row r="81" spans="1:20" ht="12.95" customHeight="1" x14ac:dyDescent="0.2">
      <c r="A81" s="3222"/>
      <c r="B81" s="696" t="s">
        <v>9</v>
      </c>
      <c r="C81" s="3228"/>
      <c r="D81" s="701">
        <f>+E81+F81+G81+H81</f>
        <v>313960</v>
      </c>
      <c r="E81" s="699">
        <f>14897+299063</f>
        <v>313960</v>
      </c>
      <c r="F81" s="699">
        <v>0</v>
      </c>
      <c r="G81" s="698">
        <v>0</v>
      </c>
      <c r="H81" s="700">
        <v>0</v>
      </c>
      <c r="I81" s="701">
        <f>+J81+K81+L81+M81</f>
        <v>313960</v>
      </c>
      <c r="J81" s="699">
        <f>14897+299063</f>
        <v>313960</v>
      </c>
      <c r="K81" s="699">
        <v>0</v>
      </c>
      <c r="L81" s="699">
        <v>0</v>
      </c>
      <c r="M81" s="1358">
        <v>0</v>
      </c>
      <c r="N81" s="848">
        <f>+J81+K81+P81</f>
        <v>313960</v>
      </c>
      <c r="O81" s="2187">
        <f t="shared" si="82"/>
        <v>100</v>
      </c>
      <c r="P81" s="698">
        <v>0</v>
      </c>
      <c r="Q81" s="1352">
        <v>0</v>
      </c>
      <c r="R81" s="2188">
        <f t="shared" si="84"/>
        <v>0</v>
      </c>
      <c r="S81" s="2989"/>
      <c r="T81" s="2111">
        <f t="shared" si="85"/>
        <v>0</v>
      </c>
    </row>
    <row r="82" spans="1:20" ht="12.95" customHeight="1" x14ac:dyDescent="0.2">
      <c r="A82" s="3222"/>
      <c r="B82" s="787" t="s">
        <v>17</v>
      </c>
      <c r="C82" s="2193"/>
      <c r="D82" s="711">
        <f t="shared" ref="D82:H82" si="86">+D83+D86</f>
        <v>6692363</v>
      </c>
      <c r="E82" s="686">
        <f t="shared" si="86"/>
        <v>1176363</v>
      </c>
      <c r="F82" s="686">
        <f t="shared" si="86"/>
        <v>1470000</v>
      </c>
      <c r="G82" s="686">
        <f t="shared" si="86"/>
        <v>1446000</v>
      </c>
      <c r="H82" s="2172">
        <f t="shared" si="86"/>
        <v>2600000</v>
      </c>
      <c r="I82" s="711">
        <f t="shared" ref="I82:M82" si="87">+I83+I86</f>
        <v>6564554.0800000001</v>
      </c>
      <c r="J82" s="686">
        <f t="shared" si="87"/>
        <v>1176363</v>
      </c>
      <c r="K82" s="686">
        <f t="shared" si="87"/>
        <v>1342191.08</v>
      </c>
      <c r="L82" s="686">
        <f t="shared" si="87"/>
        <v>1446000</v>
      </c>
      <c r="M82" s="2172">
        <f t="shared" si="87"/>
        <v>2600000</v>
      </c>
      <c r="N82" s="2173">
        <f>N83+N86</f>
        <v>2878360.08</v>
      </c>
      <c r="O82" s="712">
        <f t="shared" si="82"/>
        <v>43.009622759554439</v>
      </c>
      <c r="P82" s="686">
        <f>+P83+P86</f>
        <v>359806</v>
      </c>
      <c r="Q82" s="712">
        <f t="shared" si="83"/>
        <v>24.882849239280773</v>
      </c>
      <c r="R82" s="2174">
        <f t="shared" si="84"/>
        <v>-1694</v>
      </c>
      <c r="S82" s="2989"/>
      <c r="T82" s="2111">
        <f t="shared" si="85"/>
        <v>0</v>
      </c>
    </row>
    <row r="83" spans="1:20" ht="12.95" customHeight="1" x14ac:dyDescent="0.2">
      <c r="A83" s="3222"/>
      <c r="B83" s="2176" t="s">
        <v>4</v>
      </c>
      <c r="C83" s="3224" t="s">
        <v>231</v>
      </c>
      <c r="D83" s="837">
        <f>+D85+D84</f>
        <v>1772363</v>
      </c>
      <c r="E83" s="839">
        <f>E84+E85</f>
        <v>303363</v>
      </c>
      <c r="F83" s="839">
        <f>F84+F85</f>
        <v>423000</v>
      </c>
      <c r="G83" s="839">
        <f>G84+G85</f>
        <v>396000</v>
      </c>
      <c r="H83" s="2178">
        <f>H84</f>
        <v>650000</v>
      </c>
      <c r="I83" s="837">
        <f>+I85+I84</f>
        <v>1724277.93</v>
      </c>
      <c r="J83" s="839">
        <f>J84+J85</f>
        <v>303363</v>
      </c>
      <c r="K83" s="2237">
        <f>K84+K85</f>
        <v>374914.93</v>
      </c>
      <c r="L83" s="839">
        <f>L84+L85</f>
        <v>396000</v>
      </c>
      <c r="M83" s="2178">
        <f>M84</f>
        <v>650000</v>
      </c>
      <c r="N83" s="2179">
        <f>N85+N84</f>
        <v>775133.92999999993</v>
      </c>
      <c r="O83" s="2180">
        <f t="shared" si="82"/>
        <v>43.7344906207137</v>
      </c>
      <c r="P83" s="2237">
        <f>P85+P84</f>
        <v>96856</v>
      </c>
      <c r="Q83" s="2180">
        <f t="shared" si="83"/>
        <v>24.458585858585856</v>
      </c>
      <c r="R83" s="2181">
        <f t="shared" si="84"/>
        <v>-2144</v>
      </c>
      <c r="S83" s="2989"/>
      <c r="T83" s="2111">
        <f t="shared" si="85"/>
        <v>0</v>
      </c>
    </row>
    <row r="84" spans="1:20" ht="12.95" customHeight="1" x14ac:dyDescent="0.2">
      <c r="A84" s="3222"/>
      <c r="B84" s="696" t="s">
        <v>8</v>
      </c>
      <c r="C84" s="3225"/>
      <c r="D84" s="701">
        <f>+E84+F84+G84+H84</f>
        <v>1655654</v>
      </c>
      <c r="E84" s="699">
        <v>186654</v>
      </c>
      <c r="F84" s="699">
        <v>423000</v>
      </c>
      <c r="G84" s="699">
        <v>396000</v>
      </c>
      <c r="H84" s="1358">
        <f>325000+325000</f>
        <v>650000</v>
      </c>
      <c r="I84" s="701">
        <f>+J84+K84+L84+M84</f>
        <v>1607568.93</v>
      </c>
      <c r="J84" s="699">
        <v>186654</v>
      </c>
      <c r="K84" s="2238">
        <f>385638.93-10724</f>
        <v>374914.93</v>
      </c>
      <c r="L84" s="699">
        <v>396000</v>
      </c>
      <c r="M84" s="1358">
        <f>325000+325000</f>
        <v>650000</v>
      </c>
      <c r="N84" s="848">
        <f>+J84+K84+P84</f>
        <v>658424.92999999993</v>
      </c>
      <c r="O84" s="2187">
        <f t="shared" si="82"/>
        <v>39.768268611678522</v>
      </c>
      <c r="P84" s="699">
        <v>96856</v>
      </c>
      <c r="Q84" s="2187">
        <f t="shared" si="83"/>
        <v>24.458585858585856</v>
      </c>
      <c r="R84" s="2188">
        <f t="shared" si="84"/>
        <v>-2144</v>
      </c>
      <c r="S84" s="2989"/>
      <c r="T84" s="2111">
        <f t="shared" si="85"/>
        <v>0</v>
      </c>
    </row>
    <row r="85" spans="1:20" ht="12.95" customHeight="1" x14ac:dyDescent="0.2">
      <c r="A85" s="3222"/>
      <c r="B85" s="696" t="s">
        <v>9</v>
      </c>
      <c r="C85" s="3055"/>
      <c r="D85" s="701">
        <f>+E85+F85+G85+H85</f>
        <v>116709</v>
      </c>
      <c r="E85" s="699">
        <f>4966+111743</f>
        <v>116709</v>
      </c>
      <c r="F85" s="699">
        <v>0</v>
      </c>
      <c r="G85" s="698">
        <v>0</v>
      </c>
      <c r="H85" s="700">
        <v>0</v>
      </c>
      <c r="I85" s="701">
        <f>+J85+K85+L85+M85</f>
        <v>116709</v>
      </c>
      <c r="J85" s="699">
        <f>4966+111743</f>
        <v>116709</v>
      </c>
      <c r="K85" s="699">
        <v>0</v>
      </c>
      <c r="L85" s="699">
        <v>0</v>
      </c>
      <c r="M85" s="1358">
        <v>0</v>
      </c>
      <c r="N85" s="848">
        <f>+J85+K85+P85</f>
        <v>116709</v>
      </c>
      <c r="O85" s="702">
        <f t="shared" si="82"/>
        <v>100</v>
      </c>
      <c r="P85" s="698">
        <v>0</v>
      </c>
      <c r="Q85" s="698">
        <v>0</v>
      </c>
      <c r="R85" s="2188">
        <f t="shared" si="84"/>
        <v>0</v>
      </c>
      <c r="S85" s="2989"/>
      <c r="T85" s="2111">
        <f t="shared" si="85"/>
        <v>0</v>
      </c>
    </row>
    <row r="86" spans="1:20" ht="12.95" customHeight="1" x14ac:dyDescent="0.2">
      <c r="A86" s="3222"/>
      <c r="B86" s="2176" t="s">
        <v>13</v>
      </c>
      <c r="C86" s="3055"/>
      <c r="D86" s="837">
        <f t="shared" ref="D86:H86" si="88">D87+D88</f>
        <v>4920000</v>
      </c>
      <c r="E86" s="839">
        <f t="shared" si="88"/>
        <v>873000</v>
      </c>
      <c r="F86" s="839">
        <f t="shared" si="88"/>
        <v>1047000</v>
      </c>
      <c r="G86" s="839">
        <f t="shared" si="88"/>
        <v>1050000</v>
      </c>
      <c r="H86" s="2178">
        <f t="shared" si="88"/>
        <v>1950000</v>
      </c>
      <c r="I86" s="837">
        <f t="shared" ref="I86:M86" si="89">I87+I88</f>
        <v>4840276.1500000004</v>
      </c>
      <c r="J86" s="839">
        <f t="shared" si="89"/>
        <v>873000</v>
      </c>
      <c r="K86" s="2237">
        <f t="shared" si="89"/>
        <v>967276.15</v>
      </c>
      <c r="L86" s="839">
        <f t="shared" si="89"/>
        <v>1050000</v>
      </c>
      <c r="M86" s="2178">
        <f t="shared" si="89"/>
        <v>1950000</v>
      </c>
      <c r="N86" s="2179">
        <f>N88+N87</f>
        <v>2103226.15</v>
      </c>
      <c r="O86" s="2180">
        <f t="shared" si="82"/>
        <v>42.748498983739836</v>
      </c>
      <c r="P86" s="2237">
        <f>+P88+P87</f>
        <v>262950</v>
      </c>
      <c r="Q86" s="2180">
        <f t="shared" si="83"/>
        <v>25.042857142857144</v>
      </c>
      <c r="R86" s="2181">
        <f t="shared" si="84"/>
        <v>450</v>
      </c>
      <c r="S86" s="2989"/>
      <c r="T86" s="2111">
        <f t="shared" si="85"/>
        <v>0</v>
      </c>
    </row>
    <row r="87" spans="1:20" ht="12.95" customHeight="1" x14ac:dyDescent="0.2">
      <c r="A87" s="3222"/>
      <c r="B87" s="696" t="s">
        <v>15</v>
      </c>
      <c r="C87" s="3055"/>
      <c r="D87" s="701">
        <f>+E87+F87+G87+H87</f>
        <v>4606040</v>
      </c>
      <c r="E87" s="699">
        <v>559040</v>
      </c>
      <c r="F87" s="699">
        <v>1047000</v>
      </c>
      <c r="G87" s="699">
        <v>1050000</v>
      </c>
      <c r="H87" s="1358">
        <f>975000+975000</f>
        <v>1950000</v>
      </c>
      <c r="I87" s="701">
        <f>+J87+K87+L87+M87</f>
        <v>4526316.1500000004</v>
      </c>
      <c r="J87" s="699">
        <v>559040</v>
      </c>
      <c r="K87" s="2239">
        <f>984032.15-16756</f>
        <v>967276.15</v>
      </c>
      <c r="L87" s="699">
        <v>1050000</v>
      </c>
      <c r="M87" s="1358">
        <f>975000+975000</f>
        <v>1950000</v>
      </c>
      <c r="N87" s="848">
        <f>+J87+K87+P87</f>
        <v>1789266.15</v>
      </c>
      <c r="O87" s="2187">
        <f t="shared" si="82"/>
        <v>38.846083620637252</v>
      </c>
      <c r="P87" s="699">
        <v>262950</v>
      </c>
      <c r="Q87" s="2187">
        <f t="shared" si="83"/>
        <v>25.042857142857144</v>
      </c>
      <c r="R87" s="2188">
        <f t="shared" si="84"/>
        <v>450</v>
      </c>
      <c r="S87" s="2989"/>
      <c r="T87" s="2111">
        <f t="shared" si="85"/>
        <v>0</v>
      </c>
    </row>
    <row r="88" spans="1:20" ht="12.95" customHeight="1" thickBot="1" x14ac:dyDescent="0.25">
      <c r="A88" s="3223"/>
      <c r="B88" s="780" t="s">
        <v>9</v>
      </c>
      <c r="C88" s="3056"/>
      <c r="D88" s="722">
        <f>+E88+F88+G88+H88</f>
        <v>313960</v>
      </c>
      <c r="E88" s="720">
        <f>14897+299063</f>
        <v>313960</v>
      </c>
      <c r="F88" s="720">
        <v>0</v>
      </c>
      <c r="G88" s="719">
        <v>0</v>
      </c>
      <c r="H88" s="761">
        <v>0</v>
      </c>
      <c r="I88" s="722">
        <f>+J88+K88+L88+M88</f>
        <v>313960</v>
      </c>
      <c r="J88" s="720">
        <f>14897+299063</f>
        <v>313960</v>
      </c>
      <c r="K88" s="720">
        <v>0</v>
      </c>
      <c r="L88" s="720">
        <v>0</v>
      </c>
      <c r="M88" s="1116">
        <v>0</v>
      </c>
      <c r="N88" s="1359">
        <f>+J88+K88+P88</f>
        <v>313960</v>
      </c>
      <c r="O88" s="723">
        <f t="shared" si="82"/>
        <v>100</v>
      </c>
      <c r="P88" s="719">
        <v>0</v>
      </c>
      <c r="Q88" s="719">
        <v>0</v>
      </c>
      <c r="R88" s="2217">
        <f t="shared" si="84"/>
        <v>0</v>
      </c>
      <c r="S88" s="2990"/>
      <c r="T88" s="2111">
        <f t="shared" si="85"/>
        <v>0</v>
      </c>
    </row>
    <row r="89" spans="1:20" s="262" customFormat="1" ht="58.5" customHeight="1" x14ac:dyDescent="0.2">
      <c r="A89" s="3226" t="s">
        <v>51</v>
      </c>
      <c r="B89" s="2240" t="s">
        <v>235</v>
      </c>
      <c r="C89" s="2241" t="s">
        <v>225</v>
      </c>
      <c r="D89" s="2162"/>
      <c r="E89" s="2163"/>
      <c r="F89" s="2163"/>
      <c r="G89" s="2163"/>
      <c r="H89" s="2164"/>
      <c r="I89" s="2162"/>
      <c r="J89" s="2163"/>
      <c r="K89" s="2163"/>
      <c r="L89" s="2163"/>
      <c r="M89" s="2164"/>
      <c r="N89" s="2242"/>
      <c r="O89" s="2243"/>
      <c r="P89" s="2244"/>
      <c r="Q89" s="2243"/>
      <c r="R89" s="2168"/>
      <c r="S89" s="2988" t="s">
        <v>234</v>
      </c>
      <c r="T89" s="2111">
        <f t="shared" si="85"/>
        <v>0</v>
      </c>
    </row>
    <row r="90" spans="1:20" s="262" customFormat="1" ht="12" customHeight="1" x14ac:dyDescent="0.2">
      <c r="A90" s="3222"/>
      <c r="B90" s="787" t="s">
        <v>3</v>
      </c>
      <c r="C90" s="2245"/>
      <c r="D90" s="711">
        <f t="shared" ref="D90:H90" si="90">+D91+D95</f>
        <v>41475</v>
      </c>
      <c r="E90" s="686">
        <f t="shared" si="90"/>
        <v>11475</v>
      </c>
      <c r="F90" s="686">
        <f t="shared" si="90"/>
        <v>30000</v>
      </c>
      <c r="G90" s="738">
        <f t="shared" si="90"/>
        <v>0</v>
      </c>
      <c r="H90" s="687">
        <f t="shared" si="90"/>
        <v>0</v>
      </c>
      <c r="I90" s="711">
        <f t="shared" ref="I90:M90" si="91">+I91+I95</f>
        <v>38955</v>
      </c>
      <c r="J90" s="686">
        <f t="shared" si="91"/>
        <v>11475</v>
      </c>
      <c r="K90" s="686">
        <f t="shared" si="91"/>
        <v>27480</v>
      </c>
      <c r="L90" s="686">
        <f t="shared" si="91"/>
        <v>0</v>
      </c>
      <c r="M90" s="2172">
        <f t="shared" si="91"/>
        <v>0</v>
      </c>
      <c r="N90" s="2173">
        <f>N91+N95</f>
        <v>38955</v>
      </c>
      <c r="O90" s="712">
        <f>N90/D90*100</f>
        <v>93.924050632911388</v>
      </c>
      <c r="P90" s="738">
        <f>+P91+P95</f>
        <v>0</v>
      </c>
      <c r="Q90" s="738">
        <v>0</v>
      </c>
      <c r="R90" s="2174">
        <f t="shared" si="84"/>
        <v>0</v>
      </c>
      <c r="S90" s="2989"/>
      <c r="T90" s="2111">
        <f t="shared" si="85"/>
        <v>0</v>
      </c>
    </row>
    <row r="91" spans="1:20" s="262" customFormat="1" ht="12" customHeight="1" x14ac:dyDescent="0.2">
      <c r="A91" s="3222"/>
      <c r="B91" s="2176" t="s">
        <v>4</v>
      </c>
      <c r="C91" s="2971" t="s">
        <v>231</v>
      </c>
      <c r="D91" s="837">
        <f>+D92+D94+D93</f>
        <v>14868</v>
      </c>
      <c r="E91" s="839">
        <f>SUM(E92:E94)</f>
        <v>2868</v>
      </c>
      <c r="F91" s="839">
        <f>SUM(F92:F94)</f>
        <v>12000</v>
      </c>
      <c r="G91" s="2219">
        <f>SUM(G92:G94)</f>
        <v>0</v>
      </c>
      <c r="H91" s="2177">
        <f>SUM(H93:H94)</f>
        <v>0</v>
      </c>
      <c r="I91" s="837">
        <f>+I92+I94+I93</f>
        <v>13591.91</v>
      </c>
      <c r="J91" s="839">
        <f>SUM(J92:J94)</f>
        <v>2868</v>
      </c>
      <c r="K91" s="839">
        <f>SUM(K92:K94)</f>
        <v>10723.91</v>
      </c>
      <c r="L91" s="839">
        <f>SUM(L92:L94)</f>
        <v>0</v>
      </c>
      <c r="M91" s="2178">
        <f>SUM(M93:M94)</f>
        <v>0</v>
      </c>
      <c r="N91" s="2179">
        <f>N92+N94+N93</f>
        <v>13591.91</v>
      </c>
      <c r="O91" s="2180">
        <f t="shared" si="82"/>
        <v>91.417204735001349</v>
      </c>
      <c r="P91" s="2219">
        <f>P92+P94+P93</f>
        <v>0</v>
      </c>
      <c r="Q91" s="2220">
        <v>0</v>
      </c>
      <c r="R91" s="2181">
        <f t="shared" si="84"/>
        <v>0</v>
      </c>
      <c r="S91" s="2989"/>
      <c r="T91" s="2111">
        <f t="shared" si="85"/>
        <v>0</v>
      </c>
    </row>
    <row r="92" spans="1:20" s="262" customFormat="1" ht="12" hidden="1" customHeight="1" x14ac:dyDescent="0.2">
      <c r="A92" s="3222"/>
      <c r="B92" s="696" t="s">
        <v>5</v>
      </c>
      <c r="C92" s="2971"/>
      <c r="D92" s="492">
        <f>+E92+F92+G92+H92</f>
        <v>0</v>
      </c>
      <c r="E92" s="492"/>
      <c r="F92" s="492"/>
      <c r="G92" s="1235">
        <v>0</v>
      </c>
      <c r="H92" s="1235">
        <v>0</v>
      </c>
      <c r="I92" s="492">
        <f>+J92+K92+L92+M92</f>
        <v>0</v>
      </c>
      <c r="J92" s="492"/>
      <c r="K92" s="492"/>
      <c r="L92" s="492">
        <v>0</v>
      </c>
      <c r="M92" s="492">
        <v>0</v>
      </c>
      <c r="N92" s="492">
        <f>+J92+K92+P92</f>
        <v>0</v>
      </c>
      <c r="O92" s="492" t="e">
        <f t="shared" si="82"/>
        <v>#DIV/0!</v>
      </c>
      <c r="P92" s="1235">
        <v>0</v>
      </c>
      <c r="Q92" s="1235" t="e">
        <f t="shared" si="83"/>
        <v>#DIV/0!</v>
      </c>
      <c r="R92" s="492">
        <f t="shared" si="84"/>
        <v>0</v>
      </c>
      <c r="S92" s="2989"/>
      <c r="T92" s="2111">
        <f t="shared" si="85"/>
        <v>0</v>
      </c>
    </row>
    <row r="93" spans="1:20" s="262" customFormat="1" ht="12" customHeight="1" x14ac:dyDescent="0.2">
      <c r="A93" s="3222"/>
      <c r="B93" s="2182" t="s">
        <v>8</v>
      </c>
      <c r="C93" s="2971"/>
      <c r="D93" s="701">
        <f>+E93+F93+G93+H93</f>
        <v>12000</v>
      </c>
      <c r="E93" s="699">
        <v>0</v>
      </c>
      <c r="F93" s="699">
        <v>12000</v>
      </c>
      <c r="G93" s="698">
        <v>0</v>
      </c>
      <c r="H93" s="700">
        <v>0</v>
      </c>
      <c r="I93" s="701">
        <f>+J93+K93+L93+M93</f>
        <v>10723.91</v>
      </c>
      <c r="J93" s="699">
        <v>0</v>
      </c>
      <c r="K93" s="699">
        <f>5138.54+5585.37</f>
        <v>10723.91</v>
      </c>
      <c r="L93" s="699"/>
      <c r="M93" s="1358"/>
      <c r="N93" s="848">
        <f>+J93+K93+P93</f>
        <v>10723.91</v>
      </c>
      <c r="O93" s="2187">
        <f t="shared" si="82"/>
        <v>89.365916666666664</v>
      </c>
      <c r="P93" s="698">
        <v>0</v>
      </c>
      <c r="Q93" s="1352">
        <v>0</v>
      </c>
      <c r="R93" s="2188">
        <f t="shared" si="84"/>
        <v>0</v>
      </c>
      <c r="S93" s="2989"/>
      <c r="T93" s="2111">
        <f t="shared" si="85"/>
        <v>0</v>
      </c>
    </row>
    <row r="94" spans="1:20" s="262" customFormat="1" ht="12" customHeight="1" x14ac:dyDescent="0.2">
      <c r="A94" s="3222"/>
      <c r="B94" s="696" t="s">
        <v>9</v>
      </c>
      <c r="C94" s="2971"/>
      <c r="D94" s="701">
        <f>+E94+F94+G94+H94</f>
        <v>2868</v>
      </c>
      <c r="E94" s="699">
        <v>2868</v>
      </c>
      <c r="F94" s="699">
        <v>0</v>
      </c>
      <c r="G94" s="698">
        <v>0</v>
      </c>
      <c r="H94" s="700">
        <v>0</v>
      </c>
      <c r="I94" s="701">
        <f>+J94+K94+L94+M94</f>
        <v>2868</v>
      </c>
      <c r="J94" s="699">
        <v>2868</v>
      </c>
      <c r="K94" s="699">
        <v>0</v>
      </c>
      <c r="L94" s="699">
        <v>0</v>
      </c>
      <c r="M94" s="1358">
        <v>0</v>
      </c>
      <c r="N94" s="848">
        <f>+J94+K94+P94</f>
        <v>2868</v>
      </c>
      <c r="O94" s="2187">
        <f t="shared" si="82"/>
        <v>100</v>
      </c>
      <c r="P94" s="698">
        <v>0</v>
      </c>
      <c r="Q94" s="698">
        <v>0</v>
      </c>
      <c r="R94" s="2188">
        <f t="shared" si="84"/>
        <v>0</v>
      </c>
      <c r="S94" s="2989"/>
      <c r="T94" s="2111">
        <f t="shared" si="85"/>
        <v>0</v>
      </c>
    </row>
    <row r="95" spans="1:20" s="262" customFormat="1" ht="12" customHeight="1" x14ac:dyDescent="0.2">
      <c r="A95" s="3222"/>
      <c r="B95" s="2176" t="s">
        <v>13</v>
      </c>
      <c r="C95" s="2971"/>
      <c r="D95" s="837">
        <f>+D97+D96</f>
        <v>26607</v>
      </c>
      <c r="E95" s="839">
        <f>E97+E96</f>
        <v>8607</v>
      </c>
      <c r="F95" s="839">
        <f>F97+F96</f>
        <v>18000</v>
      </c>
      <c r="G95" s="2219">
        <f>G97+G96</f>
        <v>0</v>
      </c>
      <c r="H95" s="2177">
        <f>H97+H96</f>
        <v>0</v>
      </c>
      <c r="I95" s="837">
        <f>+I97+I96</f>
        <v>25363.09</v>
      </c>
      <c r="J95" s="839">
        <f>J97+J96</f>
        <v>8607</v>
      </c>
      <c r="K95" s="839">
        <f>K97+K96</f>
        <v>16756.09</v>
      </c>
      <c r="L95" s="839">
        <f>L97+L96</f>
        <v>0</v>
      </c>
      <c r="M95" s="2178">
        <f>M97+M96</f>
        <v>0</v>
      </c>
      <c r="N95" s="2179">
        <f>N97+N96</f>
        <v>25363.09</v>
      </c>
      <c r="O95" s="2180">
        <f t="shared" si="82"/>
        <v>95.324876912090801</v>
      </c>
      <c r="P95" s="2219">
        <f>P97+P96</f>
        <v>0</v>
      </c>
      <c r="Q95" s="2220">
        <v>0</v>
      </c>
      <c r="R95" s="2181">
        <f t="shared" si="84"/>
        <v>0</v>
      </c>
      <c r="S95" s="2989"/>
      <c r="T95" s="2111">
        <f t="shared" si="85"/>
        <v>0</v>
      </c>
    </row>
    <row r="96" spans="1:20" s="262" customFormat="1" ht="12" customHeight="1" x14ac:dyDescent="0.2">
      <c r="A96" s="3222"/>
      <c r="B96" s="696" t="s">
        <v>15</v>
      </c>
      <c r="C96" s="2971"/>
      <c r="D96" s="701">
        <f>+E96+F96+G96+H96</f>
        <v>18000</v>
      </c>
      <c r="E96" s="699">
        <v>0</v>
      </c>
      <c r="F96" s="699">
        <v>18000</v>
      </c>
      <c r="G96" s="698">
        <v>0</v>
      </c>
      <c r="H96" s="700">
        <v>0</v>
      </c>
      <c r="I96" s="701">
        <f>+J96+K96+L96+M96</f>
        <v>16756.09</v>
      </c>
      <c r="J96" s="699">
        <v>0</v>
      </c>
      <c r="K96" s="699">
        <v>16756.09</v>
      </c>
      <c r="L96" s="699">
        <v>0</v>
      </c>
      <c r="M96" s="1358">
        <v>0</v>
      </c>
      <c r="N96" s="848">
        <f>+J96+K96+P96</f>
        <v>16756.09</v>
      </c>
      <c r="O96" s="2187">
        <f t="shared" si="82"/>
        <v>93.089388888888891</v>
      </c>
      <c r="P96" s="698">
        <v>0</v>
      </c>
      <c r="Q96" s="1352">
        <v>0</v>
      </c>
      <c r="R96" s="2188">
        <f t="shared" si="84"/>
        <v>0</v>
      </c>
      <c r="S96" s="2989"/>
      <c r="T96" s="2111">
        <f t="shared" si="85"/>
        <v>0</v>
      </c>
    </row>
    <row r="97" spans="1:21" s="262" customFormat="1" ht="12" customHeight="1" x14ac:dyDescent="0.2">
      <c r="A97" s="3222"/>
      <c r="B97" s="696" t="s">
        <v>9</v>
      </c>
      <c r="C97" s="3228"/>
      <c r="D97" s="701">
        <f>+E97+F97+G97+H97</f>
        <v>8607</v>
      </c>
      <c r="E97" s="699">
        <v>8607</v>
      </c>
      <c r="F97" s="699">
        <v>0</v>
      </c>
      <c r="G97" s="698">
        <v>0</v>
      </c>
      <c r="H97" s="700">
        <v>0</v>
      </c>
      <c r="I97" s="701">
        <f>+J97+K97+L97+M97</f>
        <v>8607</v>
      </c>
      <c r="J97" s="699">
        <v>8607</v>
      </c>
      <c r="K97" s="699">
        <v>0</v>
      </c>
      <c r="L97" s="699">
        <v>0</v>
      </c>
      <c r="M97" s="1358">
        <v>0</v>
      </c>
      <c r="N97" s="848">
        <f>+J97+K97+P97</f>
        <v>8607</v>
      </c>
      <c r="O97" s="2187">
        <f t="shared" si="82"/>
        <v>100</v>
      </c>
      <c r="P97" s="698">
        <v>0</v>
      </c>
      <c r="Q97" s="1352">
        <v>0</v>
      </c>
      <c r="R97" s="2188">
        <f t="shared" si="84"/>
        <v>0</v>
      </c>
      <c r="S97" s="2989"/>
      <c r="T97" s="2111">
        <f t="shared" si="85"/>
        <v>0</v>
      </c>
    </row>
    <row r="98" spans="1:21" s="262" customFormat="1" ht="12" customHeight="1" x14ac:dyDescent="0.2">
      <c r="A98" s="3222"/>
      <c r="B98" s="787" t="s">
        <v>17</v>
      </c>
      <c r="C98" s="2245"/>
      <c r="D98" s="711">
        <f t="shared" ref="D98:H98" si="92">+D99+D102</f>
        <v>41475</v>
      </c>
      <c r="E98" s="686">
        <f t="shared" si="92"/>
        <v>11475</v>
      </c>
      <c r="F98" s="686">
        <f t="shared" si="92"/>
        <v>30000</v>
      </c>
      <c r="G98" s="738">
        <f t="shared" si="92"/>
        <v>0</v>
      </c>
      <c r="H98" s="687">
        <f t="shared" si="92"/>
        <v>0</v>
      </c>
      <c r="I98" s="711">
        <f t="shared" ref="I98:M98" si="93">+I99+I102</f>
        <v>38955</v>
      </c>
      <c r="J98" s="686">
        <f t="shared" si="93"/>
        <v>11475</v>
      </c>
      <c r="K98" s="686">
        <f t="shared" si="93"/>
        <v>27480</v>
      </c>
      <c r="L98" s="686">
        <f t="shared" si="93"/>
        <v>0</v>
      </c>
      <c r="M98" s="2172">
        <f t="shared" si="93"/>
        <v>0</v>
      </c>
      <c r="N98" s="2173">
        <f>N99+N102</f>
        <v>38955</v>
      </c>
      <c r="O98" s="712">
        <f t="shared" si="82"/>
        <v>93.924050632911388</v>
      </c>
      <c r="P98" s="738">
        <f>+P99+P102</f>
        <v>0</v>
      </c>
      <c r="Q98" s="738">
        <v>0</v>
      </c>
      <c r="R98" s="2174">
        <f t="shared" si="84"/>
        <v>0</v>
      </c>
      <c r="S98" s="2989"/>
      <c r="T98" s="2111">
        <f t="shared" si="85"/>
        <v>0</v>
      </c>
    </row>
    <row r="99" spans="1:21" s="262" customFormat="1" ht="12" customHeight="1" x14ac:dyDescent="0.2">
      <c r="A99" s="3222"/>
      <c r="B99" s="2176" t="s">
        <v>4</v>
      </c>
      <c r="C99" s="3224" t="s">
        <v>231</v>
      </c>
      <c r="D99" s="837">
        <f>+D101+D100</f>
        <v>14868</v>
      </c>
      <c r="E99" s="839">
        <f>E100+E101</f>
        <v>2868</v>
      </c>
      <c r="F99" s="839">
        <f>F100+F101</f>
        <v>12000</v>
      </c>
      <c r="G99" s="2219">
        <f>G100+G101</f>
        <v>0</v>
      </c>
      <c r="H99" s="2177">
        <f>H100</f>
        <v>0</v>
      </c>
      <c r="I99" s="837">
        <f>+I101+I100</f>
        <v>13591.91</v>
      </c>
      <c r="J99" s="839">
        <f>J100+J101</f>
        <v>2868</v>
      </c>
      <c r="K99" s="839">
        <f>K100+K101</f>
        <v>10723.91</v>
      </c>
      <c r="L99" s="839">
        <f>L100+L101</f>
        <v>0</v>
      </c>
      <c r="M99" s="2178">
        <f>M100</f>
        <v>0</v>
      </c>
      <c r="N99" s="2179">
        <f>N101+N100</f>
        <v>13591.91</v>
      </c>
      <c r="O99" s="2180">
        <f t="shared" si="82"/>
        <v>91.417204735001349</v>
      </c>
      <c r="P99" s="2219">
        <f>P101+P100</f>
        <v>0</v>
      </c>
      <c r="Q99" s="2220">
        <v>0</v>
      </c>
      <c r="R99" s="2181">
        <f t="shared" si="84"/>
        <v>0</v>
      </c>
      <c r="S99" s="2989"/>
      <c r="T99" s="2111">
        <f t="shared" si="85"/>
        <v>0</v>
      </c>
    </row>
    <row r="100" spans="1:21" s="262" customFormat="1" ht="12" customHeight="1" x14ac:dyDescent="0.2">
      <c r="A100" s="3222"/>
      <c r="B100" s="696" t="s">
        <v>8</v>
      </c>
      <c r="C100" s="3225"/>
      <c r="D100" s="701">
        <f>+E100+F100+G100+H100</f>
        <v>12000</v>
      </c>
      <c r="E100" s="699">
        <v>0</v>
      </c>
      <c r="F100" s="699">
        <v>12000</v>
      </c>
      <c r="G100" s="698">
        <v>0</v>
      </c>
      <c r="H100" s="700">
        <v>0</v>
      </c>
      <c r="I100" s="701">
        <f>+J100+K100+L100+M100</f>
        <v>10723.91</v>
      </c>
      <c r="J100" s="699">
        <v>0</v>
      </c>
      <c r="K100" s="699">
        <f>5138.54+5585.37</f>
        <v>10723.91</v>
      </c>
      <c r="L100" s="699"/>
      <c r="M100" s="1358"/>
      <c r="N100" s="848">
        <f>+J100+K100+P100</f>
        <v>10723.91</v>
      </c>
      <c r="O100" s="2187">
        <f t="shared" si="82"/>
        <v>89.365916666666664</v>
      </c>
      <c r="P100" s="698">
        <v>0</v>
      </c>
      <c r="Q100" s="1352">
        <v>0</v>
      </c>
      <c r="R100" s="2188">
        <f t="shared" si="84"/>
        <v>0</v>
      </c>
      <c r="S100" s="2989"/>
      <c r="T100" s="2111">
        <f t="shared" si="85"/>
        <v>0</v>
      </c>
    </row>
    <row r="101" spans="1:21" s="262" customFormat="1" ht="12" customHeight="1" x14ac:dyDescent="0.2">
      <c r="A101" s="3222"/>
      <c r="B101" s="696" t="s">
        <v>9</v>
      </c>
      <c r="C101" s="3055"/>
      <c r="D101" s="701">
        <f>+E101+F101+G101+H101</f>
        <v>2868</v>
      </c>
      <c r="E101" s="699">
        <v>2868</v>
      </c>
      <c r="F101" s="699">
        <v>0</v>
      </c>
      <c r="G101" s="698">
        <v>0</v>
      </c>
      <c r="H101" s="700">
        <v>0</v>
      </c>
      <c r="I101" s="701">
        <f>+J101+K101+L101+M101</f>
        <v>2868</v>
      </c>
      <c r="J101" s="699">
        <v>2868</v>
      </c>
      <c r="K101" s="699">
        <v>0</v>
      </c>
      <c r="L101" s="699">
        <v>0</v>
      </c>
      <c r="M101" s="1358">
        <v>0</v>
      </c>
      <c r="N101" s="848">
        <f>+J101+K101+P101</f>
        <v>2868</v>
      </c>
      <c r="O101" s="2187">
        <f t="shared" si="82"/>
        <v>100</v>
      </c>
      <c r="P101" s="698">
        <v>0</v>
      </c>
      <c r="Q101" s="1352">
        <v>0</v>
      </c>
      <c r="R101" s="2188">
        <f t="shared" si="84"/>
        <v>0</v>
      </c>
      <c r="S101" s="2989"/>
      <c r="T101" s="2111">
        <f t="shared" si="85"/>
        <v>0</v>
      </c>
    </row>
    <row r="102" spans="1:21" s="262" customFormat="1" ht="12" customHeight="1" x14ac:dyDescent="0.2">
      <c r="A102" s="3222"/>
      <c r="B102" s="2176" t="s">
        <v>13</v>
      </c>
      <c r="C102" s="3055"/>
      <c r="D102" s="837">
        <f t="shared" ref="D102:H102" si="94">D103+D104</f>
        <v>26607</v>
      </c>
      <c r="E102" s="839">
        <f t="shared" si="94"/>
        <v>8607</v>
      </c>
      <c r="F102" s="839">
        <f t="shared" si="94"/>
        <v>18000</v>
      </c>
      <c r="G102" s="2219">
        <f t="shared" si="94"/>
        <v>0</v>
      </c>
      <c r="H102" s="2177">
        <f t="shared" si="94"/>
        <v>0</v>
      </c>
      <c r="I102" s="837">
        <f t="shared" ref="I102:M102" si="95">I103+I104</f>
        <v>25363.09</v>
      </c>
      <c r="J102" s="839">
        <f t="shared" si="95"/>
        <v>8607</v>
      </c>
      <c r="K102" s="839">
        <f t="shared" si="95"/>
        <v>16756.09</v>
      </c>
      <c r="L102" s="839">
        <f t="shared" si="95"/>
        <v>0</v>
      </c>
      <c r="M102" s="2178">
        <f t="shared" si="95"/>
        <v>0</v>
      </c>
      <c r="N102" s="2179">
        <f>N104+N103</f>
        <v>25363.09</v>
      </c>
      <c r="O102" s="2180">
        <f t="shared" si="82"/>
        <v>95.324876912090801</v>
      </c>
      <c r="P102" s="2219">
        <f>+P104+P103</f>
        <v>0</v>
      </c>
      <c r="Q102" s="2220">
        <v>0</v>
      </c>
      <c r="R102" s="2181">
        <f t="shared" si="84"/>
        <v>0</v>
      </c>
      <c r="S102" s="2989"/>
      <c r="T102" s="2111">
        <f t="shared" si="85"/>
        <v>0</v>
      </c>
    </row>
    <row r="103" spans="1:21" s="262" customFormat="1" ht="12" customHeight="1" x14ac:dyDescent="0.2">
      <c r="A103" s="3222"/>
      <c r="B103" s="696" t="s">
        <v>15</v>
      </c>
      <c r="C103" s="3055"/>
      <c r="D103" s="701">
        <f>+E103+F103+G103+H103</f>
        <v>18000</v>
      </c>
      <c r="E103" s="699">
        <v>0</v>
      </c>
      <c r="F103" s="699">
        <v>18000</v>
      </c>
      <c r="G103" s="698">
        <v>0</v>
      </c>
      <c r="H103" s="700">
        <v>0</v>
      </c>
      <c r="I103" s="701">
        <f>+J103+K103+L103+M103</f>
        <v>16756.09</v>
      </c>
      <c r="J103" s="699">
        <v>0</v>
      </c>
      <c r="K103" s="699">
        <v>16756.09</v>
      </c>
      <c r="L103" s="699"/>
      <c r="M103" s="1358"/>
      <c r="N103" s="848">
        <f>+J103+K103+P103</f>
        <v>16756.09</v>
      </c>
      <c r="O103" s="2187">
        <f t="shared" si="82"/>
        <v>93.089388888888891</v>
      </c>
      <c r="P103" s="698">
        <v>0</v>
      </c>
      <c r="Q103" s="1352">
        <v>0</v>
      </c>
      <c r="R103" s="2188">
        <f t="shared" si="84"/>
        <v>0</v>
      </c>
      <c r="S103" s="2989"/>
      <c r="T103" s="2111">
        <f t="shared" si="85"/>
        <v>0</v>
      </c>
    </row>
    <row r="104" spans="1:21" s="262" customFormat="1" ht="12" customHeight="1" thickBot="1" x14ac:dyDescent="0.25">
      <c r="A104" s="3223"/>
      <c r="B104" s="780" t="s">
        <v>9</v>
      </c>
      <c r="C104" s="3056"/>
      <c r="D104" s="722">
        <f>+E104+F104+G104+H104</f>
        <v>8607</v>
      </c>
      <c r="E104" s="720">
        <v>8607</v>
      </c>
      <c r="F104" s="720">
        <v>0</v>
      </c>
      <c r="G104" s="719">
        <v>0</v>
      </c>
      <c r="H104" s="761">
        <v>0</v>
      </c>
      <c r="I104" s="722">
        <f>+J104+K104+L104+M104</f>
        <v>8607</v>
      </c>
      <c r="J104" s="720">
        <v>8607</v>
      </c>
      <c r="K104" s="720">
        <v>0</v>
      </c>
      <c r="L104" s="720">
        <v>0</v>
      </c>
      <c r="M104" s="1116">
        <v>0</v>
      </c>
      <c r="N104" s="1359">
        <f>+J104+K104+P104</f>
        <v>8607</v>
      </c>
      <c r="O104" s="723">
        <f t="shared" si="82"/>
        <v>100</v>
      </c>
      <c r="P104" s="719">
        <v>0</v>
      </c>
      <c r="Q104" s="719">
        <v>0</v>
      </c>
      <c r="R104" s="2217">
        <f t="shared" si="84"/>
        <v>0</v>
      </c>
      <c r="S104" s="2990"/>
      <c r="T104" s="2111">
        <f t="shared" si="85"/>
        <v>0</v>
      </c>
    </row>
    <row r="105" spans="1:21" s="2169" customFormat="1" ht="39.75" customHeight="1" x14ac:dyDescent="0.2">
      <c r="A105" s="3208" t="s">
        <v>52</v>
      </c>
      <c r="B105" s="2240" t="s">
        <v>236</v>
      </c>
      <c r="C105" s="2241" t="s">
        <v>225</v>
      </c>
      <c r="D105" s="2162"/>
      <c r="E105" s="2163"/>
      <c r="F105" s="2163"/>
      <c r="G105" s="2163"/>
      <c r="H105" s="2164"/>
      <c r="I105" s="2162"/>
      <c r="J105" s="2163"/>
      <c r="K105" s="2163"/>
      <c r="L105" s="2163"/>
      <c r="M105" s="2164"/>
      <c r="N105" s="2242"/>
      <c r="O105" s="2243"/>
      <c r="P105" s="2244"/>
      <c r="Q105" s="2243"/>
      <c r="R105" s="2168"/>
      <c r="S105" s="2814" t="s">
        <v>230</v>
      </c>
      <c r="T105" s="2111">
        <f t="shared" ref="T105:T168" si="96">J105+K105+P105-N105</f>
        <v>0</v>
      </c>
    </row>
    <row r="106" spans="1:21" s="2175" customFormat="1" ht="13.5" customHeight="1" x14ac:dyDescent="0.2">
      <c r="A106" s="3209"/>
      <c r="B106" s="787" t="s">
        <v>3</v>
      </c>
      <c r="C106" s="2245"/>
      <c r="D106" s="711">
        <f t="shared" ref="D106:H106" si="97">+D107+D109</f>
        <v>15220421</v>
      </c>
      <c r="E106" s="686">
        <f t="shared" si="97"/>
        <v>629249</v>
      </c>
      <c r="F106" s="686">
        <f t="shared" si="97"/>
        <v>5697859</v>
      </c>
      <c r="G106" s="686">
        <f t="shared" si="97"/>
        <v>3118514</v>
      </c>
      <c r="H106" s="2172">
        <f t="shared" si="97"/>
        <v>5774799</v>
      </c>
      <c r="I106" s="711">
        <f t="shared" ref="I106:M106" si="98">+I107+I109</f>
        <v>15178783.82</v>
      </c>
      <c r="J106" s="686">
        <f t="shared" si="98"/>
        <v>629249</v>
      </c>
      <c r="K106" s="2139">
        <f>+K107+K109</f>
        <v>5656221.8200000003</v>
      </c>
      <c r="L106" s="686">
        <f t="shared" si="98"/>
        <v>3118514</v>
      </c>
      <c r="M106" s="2172">
        <f t="shared" si="98"/>
        <v>5774799</v>
      </c>
      <c r="N106" s="2173">
        <f>N107+N109</f>
        <v>6292689.0199999996</v>
      </c>
      <c r="O106" s="712">
        <f t="shared" si="82"/>
        <v>41.343725117721775</v>
      </c>
      <c r="P106" s="686">
        <f>+P107+P109</f>
        <v>7218.2</v>
      </c>
      <c r="Q106" s="712">
        <f t="shared" si="83"/>
        <v>0.23146280568245003</v>
      </c>
      <c r="R106" s="2174">
        <f t="shared" si="84"/>
        <v>-772410.3</v>
      </c>
      <c r="S106" s="2989"/>
      <c r="T106" s="2111">
        <f t="shared" si="96"/>
        <v>0</v>
      </c>
    </row>
    <row r="107" spans="1:21" s="2175" customFormat="1" ht="13.5" customHeight="1" x14ac:dyDescent="0.2">
      <c r="A107" s="3209"/>
      <c r="B107" s="2176" t="s">
        <v>4</v>
      </c>
      <c r="C107" s="3224" t="s">
        <v>227</v>
      </c>
      <c r="D107" s="837">
        <f>+D108</f>
        <v>7209673</v>
      </c>
      <c r="E107" s="839">
        <v>0</v>
      </c>
      <c r="F107" s="839">
        <f>SUM(F108:F108)</f>
        <v>3801777</v>
      </c>
      <c r="G107" s="839">
        <f>SUM(G108:G108)</f>
        <v>2700881</v>
      </c>
      <c r="H107" s="2178">
        <f>SUM(H108:H108)</f>
        <v>707015</v>
      </c>
      <c r="I107" s="837">
        <f>+I108</f>
        <v>7209672.8599999994</v>
      </c>
      <c r="J107" s="839">
        <v>0</v>
      </c>
      <c r="K107" s="731">
        <f>K108</f>
        <v>3801776.86</v>
      </c>
      <c r="L107" s="839">
        <f>SUM(L108:L108)</f>
        <v>2700881</v>
      </c>
      <c r="M107" s="2178">
        <f>SUM(M108:M108)</f>
        <v>707015</v>
      </c>
      <c r="N107" s="2179">
        <f>N108</f>
        <v>3801776.86</v>
      </c>
      <c r="O107" s="2246">
        <f t="shared" si="82"/>
        <v>52.731612931682193</v>
      </c>
      <c r="P107" s="2237">
        <f>P108</f>
        <v>0</v>
      </c>
      <c r="Q107" s="2246">
        <f t="shared" si="83"/>
        <v>0</v>
      </c>
      <c r="R107" s="2181">
        <f t="shared" si="84"/>
        <v>-675220.25</v>
      </c>
      <c r="S107" s="2989"/>
      <c r="T107" s="2111">
        <f t="shared" si="96"/>
        <v>0</v>
      </c>
    </row>
    <row r="108" spans="1:21" s="2169" customFormat="1" ht="13.5" customHeight="1" x14ac:dyDescent="0.2">
      <c r="A108" s="3209"/>
      <c r="B108" s="696" t="s">
        <v>11</v>
      </c>
      <c r="C108" s="3229"/>
      <c r="D108" s="701">
        <f>+E108+F108+G108+H108</f>
        <v>7209673</v>
      </c>
      <c r="E108" s="699">
        <v>0</v>
      </c>
      <c r="F108" s="699">
        <v>3801777</v>
      </c>
      <c r="G108" s="699">
        <v>2700881</v>
      </c>
      <c r="H108" s="1358">
        <f>271930+370675+64410</f>
        <v>707015</v>
      </c>
      <c r="I108" s="701">
        <f>+J108+K108+L108+M108</f>
        <v>7209672.8599999994</v>
      </c>
      <c r="J108" s="699">
        <v>0</v>
      </c>
      <c r="K108" s="2186">
        <v>3801776.86</v>
      </c>
      <c r="L108" s="699">
        <v>2700881</v>
      </c>
      <c r="M108" s="1358">
        <f>271930+370675+64410</f>
        <v>707015</v>
      </c>
      <c r="N108" s="848">
        <f>+J108+K108+P108</f>
        <v>3801776.86</v>
      </c>
      <c r="O108" s="702">
        <f t="shared" si="82"/>
        <v>52.731612931682193</v>
      </c>
      <c r="P108" s="699">
        <v>0</v>
      </c>
      <c r="Q108" s="702">
        <f t="shared" si="83"/>
        <v>0</v>
      </c>
      <c r="R108" s="2188">
        <f t="shared" si="84"/>
        <v>-675220.25</v>
      </c>
      <c r="S108" s="2989"/>
      <c r="T108" s="2111">
        <f t="shared" si="96"/>
        <v>0</v>
      </c>
      <c r="U108" s="2247"/>
    </row>
    <row r="109" spans="1:21" s="2169" customFormat="1" ht="13.5" customHeight="1" x14ac:dyDescent="0.2">
      <c r="A109" s="3209"/>
      <c r="B109" s="2176" t="s">
        <v>13</v>
      </c>
      <c r="C109" s="3229"/>
      <c r="D109" s="837">
        <f t="shared" ref="D109:H109" si="99">+D110</f>
        <v>8010748</v>
      </c>
      <c r="E109" s="839">
        <f t="shared" si="99"/>
        <v>629249</v>
      </c>
      <c r="F109" s="839">
        <f t="shared" si="99"/>
        <v>1896082</v>
      </c>
      <c r="G109" s="839">
        <f t="shared" si="99"/>
        <v>417633</v>
      </c>
      <c r="H109" s="2178">
        <f t="shared" si="99"/>
        <v>5067784</v>
      </c>
      <c r="I109" s="837">
        <f t="shared" ref="I109:N109" si="100">+I110</f>
        <v>7969110.96</v>
      </c>
      <c r="J109" s="839">
        <f t="shared" si="100"/>
        <v>629249</v>
      </c>
      <c r="K109" s="821">
        <f>+K110</f>
        <v>1854444.96</v>
      </c>
      <c r="L109" s="839">
        <f t="shared" si="100"/>
        <v>417633</v>
      </c>
      <c r="M109" s="2178">
        <f t="shared" si="100"/>
        <v>5067784</v>
      </c>
      <c r="N109" s="2179">
        <f t="shared" si="100"/>
        <v>2490912.16</v>
      </c>
      <c r="O109" s="2246">
        <f t="shared" si="82"/>
        <v>31.094626369472618</v>
      </c>
      <c r="P109" s="2237">
        <f>+P110</f>
        <v>7218.2</v>
      </c>
      <c r="Q109" s="2246">
        <f t="shared" si="83"/>
        <v>1.7283595884424841</v>
      </c>
      <c r="R109" s="2181">
        <f t="shared" si="84"/>
        <v>-97190.05</v>
      </c>
      <c r="S109" s="2989"/>
      <c r="T109" s="2111">
        <f t="shared" si="96"/>
        <v>0</v>
      </c>
    </row>
    <row r="110" spans="1:21" s="2169" customFormat="1" ht="13.5" customHeight="1" x14ac:dyDescent="0.2">
      <c r="A110" s="3209"/>
      <c r="B110" s="2182" t="s">
        <v>14</v>
      </c>
      <c r="C110" s="3230"/>
      <c r="D110" s="701">
        <f>+E110+F110+G110+H110</f>
        <v>8010748</v>
      </c>
      <c r="E110" s="699">
        <v>629249</v>
      </c>
      <c r="F110" s="699">
        <v>1896082</v>
      </c>
      <c r="G110" s="699">
        <v>417633</v>
      </c>
      <c r="H110" s="1358">
        <f>2633336+2013520+420928</f>
        <v>5067784</v>
      </c>
      <c r="I110" s="701">
        <f>+J110+K110+L110+M110</f>
        <v>7969110.96</v>
      </c>
      <c r="J110" s="699">
        <v>629249</v>
      </c>
      <c r="K110" s="2186">
        <v>1854444.96</v>
      </c>
      <c r="L110" s="699">
        <v>417633</v>
      </c>
      <c r="M110" s="1358">
        <f>2633336+2013520+420928</f>
        <v>5067784</v>
      </c>
      <c r="N110" s="848">
        <f>+J110+K110+P110</f>
        <v>2490912.16</v>
      </c>
      <c r="O110" s="2187">
        <f t="shared" si="82"/>
        <v>31.094626369472618</v>
      </c>
      <c r="P110" s="699">
        <v>7218.2</v>
      </c>
      <c r="Q110" s="2187">
        <f t="shared" si="83"/>
        <v>1.7283595884424841</v>
      </c>
      <c r="R110" s="2188">
        <f t="shared" si="84"/>
        <v>-97190.05</v>
      </c>
      <c r="S110" s="2989"/>
      <c r="T110" s="2111">
        <f t="shared" si="96"/>
        <v>0</v>
      </c>
    </row>
    <row r="111" spans="1:21" s="2169" customFormat="1" ht="13.5" customHeight="1" x14ac:dyDescent="0.2">
      <c r="A111" s="3209"/>
      <c r="B111" s="787" t="s">
        <v>17</v>
      </c>
      <c r="C111" s="2245"/>
      <c r="D111" s="711">
        <f t="shared" ref="D111:H111" si="101">+D112+D114</f>
        <v>15220421</v>
      </c>
      <c r="E111" s="686">
        <f t="shared" si="101"/>
        <v>3544011</v>
      </c>
      <c r="F111" s="686">
        <f t="shared" si="101"/>
        <v>3801777</v>
      </c>
      <c r="G111" s="686">
        <f t="shared" si="101"/>
        <v>2700881</v>
      </c>
      <c r="H111" s="2172">
        <f t="shared" si="101"/>
        <v>5173752</v>
      </c>
      <c r="I111" s="711">
        <f t="shared" ref="I111:M111" si="102">+I112+I114</f>
        <v>15220421</v>
      </c>
      <c r="J111" s="686">
        <f t="shared" si="102"/>
        <v>3544011</v>
      </c>
      <c r="K111" s="2139">
        <f>K112+K114</f>
        <v>3801777</v>
      </c>
      <c r="L111" s="686">
        <f t="shared" si="102"/>
        <v>2700881</v>
      </c>
      <c r="M111" s="2172">
        <f t="shared" si="102"/>
        <v>5173752</v>
      </c>
      <c r="N111" s="2173">
        <f>N112+N114</f>
        <v>7345788</v>
      </c>
      <c r="O111" s="712">
        <f t="shared" si="82"/>
        <v>48.262712312622632</v>
      </c>
      <c r="P111" s="686">
        <f>P112+P114</f>
        <v>0</v>
      </c>
      <c r="Q111" s="712">
        <f t="shared" si="83"/>
        <v>0</v>
      </c>
      <c r="R111" s="2174">
        <f t="shared" si="84"/>
        <v>-675220.25</v>
      </c>
      <c r="S111" s="2989"/>
      <c r="T111" s="2111">
        <f t="shared" si="96"/>
        <v>0</v>
      </c>
      <c r="U111" s="2194"/>
    </row>
    <row r="112" spans="1:21" s="2175" customFormat="1" ht="13.5" customHeight="1" x14ac:dyDescent="0.2">
      <c r="A112" s="3209"/>
      <c r="B112" s="2176" t="s">
        <v>4</v>
      </c>
      <c r="C112" s="3224" t="s">
        <v>227</v>
      </c>
      <c r="D112" s="837">
        <f>+D113</f>
        <v>7209673</v>
      </c>
      <c r="E112" s="839">
        <v>0</v>
      </c>
      <c r="F112" s="839">
        <f>SUM(F113:F113)</f>
        <v>3801777</v>
      </c>
      <c r="G112" s="839">
        <f>SUM(G113:G113)</f>
        <v>2700881</v>
      </c>
      <c r="H112" s="2178">
        <f>SUM(H113:H113)</f>
        <v>707015</v>
      </c>
      <c r="I112" s="837">
        <f>+I113</f>
        <v>7209673</v>
      </c>
      <c r="J112" s="839">
        <v>0</v>
      </c>
      <c r="K112" s="2195">
        <f>SUM(K113:K113)</f>
        <v>3801777</v>
      </c>
      <c r="L112" s="839">
        <f>SUM(L113:L113)</f>
        <v>2700881</v>
      </c>
      <c r="M112" s="2178">
        <f>SUM(M113:M113)</f>
        <v>707015</v>
      </c>
      <c r="N112" s="2179">
        <f>N113</f>
        <v>3801777</v>
      </c>
      <c r="O112" s="2180">
        <f t="shared" si="82"/>
        <v>52.731614873517842</v>
      </c>
      <c r="P112" s="839">
        <f>SUM(P113:P113)</f>
        <v>0</v>
      </c>
      <c r="Q112" s="2180">
        <f t="shared" si="83"/>
        <v>0</v>
      </c>
      <c r="R112" s="2181">
        <f t="shared" si="84"/>
        <v>-675220.25</v>
      </c>
      <c r="S112" s="2989"/>
      <c r="T112" s="2111">
        <f t="shared" si="96"/>
        <v>0</v>
      </c>
    </row>
    <row r="113" spans="1:21" s="2169" customFormat="1" ht="13.5" customHeight="1" x14ac:dyDescent="0.2">
      <c r="A113" s="3209"/>
      <c r="B113" s="696" t="s">
        <v>37</v>
      </c>
      <c r="C113" s="3229"/>
      <c r="D113" s="701">
        <f>+E113+F113+G113+H113</f>
        <v>7209673</v>
      </c>
      <c r="E113" s="699">
        <v>0</v>
      </c>
      <c r="F113" s="699">
        <v>3801777</v>
      </c>
      <c r="G113" s="699">
        <v>2700881</v>
      </c>
      <c r="H113" s="1358">
        <f>271930+370675+64410</f>
        <v>707015</v>
      </c>
      <c r="I113" s="701">
        <f>+J113+K113+L113+M113</f>
        <v>7209673</v>
      </c>
      <c r="J113" s="699">
        <v>0</v>
      </c>
      <c r="K113" s="2186">
        <v>3801777</v>
      </c>
      <c r="L113" s="699">
        <v>2700881</v>
      </c>
      <c r="M113" s="1358">
        <f>271930+370675+64410</f>
        <v>707015</v>
      </c>
      <c r="N113" s="848">
        <f>+J113+K113+P113</f>
        <v>3801777</v>
      </c>
      <c r="O113" s="702">
        <f t="shared" si="82"/>
        <v>52.731614873517842</v>
      </c>
      <c r="P113" s="699">
        <v>0</v>
      </c>
      <c r="Q113" s="702">
        <f t="shared" si="83"/>
        <v>0</v>
      </c>
      <c r="R113" s="2188">
        <f t="shared" si="84"/>
        <v>-675220.25</v>
      </c>
      <c r="S113" s="2989"/>
      <c r="T113" s="2111">
        <f t="shared" si="96"/>
        <v>0</v>
      </c>
      <c r="U113" s="2247"/>
    </row>
    <row r="114" spans="1:21" s="2169" customFormat="1" ht="13.5" customHeight="1" x14ac:dyDescent="0.2">
      <c r="A114" s="3209"/>
      <c r="B114" s="2176" t="s">
        <v>13</v>
      </c>
      <c r="C114" s="3229"/>
      <c r="D114" s="837">
        <f t="shared" ref="D114:M114" si="103">+D115</f>
        <v>8010748</v>
      </c>
      <c r="E114" s="839">
        <f t="shared" si="103"/>
        <v>3544011</v>
      </c>
      <c r="F114" s="839">
        <f t="shared" si="103"/>
        <v>0</v>
      </c>
      <c r="G114" s="2219">
        <f t="shared" si="103"/>
        <v>0</v>
      </c>
      <c r="H114" s="2178">
        <f t="shared" si="103"/>
        <v>4466737</v>
      </c>
      <c r="I114" s="837">
        <f t="shared" si="103"/>
        <v>8010748</v>
      </c>
      <c r="J114" s="839">
        <f t="shared" si="103"/>
        <v>3544011</v>
      </c>
      <c r="K114" s="866">
        <f>K115</f>
        <v>0</v>
      </c>
      <c r="L114" s="839">
        <f t="shared" si="103"/>
        <v>0</v>
      </c>
      <c r="M114" s="2178">
        <f t="shared" si="103"/>
        <v>4466737</v>
      </c>
      <c r="N114" s="2179">
        <f>N115</f>
        <v>3544011</v>
      </c>
      <c r="O114" s="823">
        <f t="shared" si="82"/>
        <v>44.240700119389601</v>
      </c>
      <c r="P114" s="802">
        <f>P115</f>
        <v>0</v>
      </c>
      <c r="Q114" s="853">
        <v>0</v>
      </c>
      <c r="R114" s="2181">
        <f t="shared" si="84"/>
        <v>0</v>
      </c>
      <c r="S114" s="2989"/>
      <c r="T114" s="2111">
        <f t="shared" si="96"/>
        <v>0</v>
      </c>
    </row>
    <row r="115" spans="1:21" s="2169" customFormat="1" ht="13.5" customHeight="1" thickBot="1" x14ac:dyDescent="0.25">
      <c r="A115" s="3217"/>
      <c r="B115" s="780" t="s">
        <v>14</v>
      </c>
      <c r="C115" s="3231"/>
      <c r="D115" s="722">
        <f>+E115+F115+G115+H115</f>
        <v>8010748</v>
      </c>
      <c r="E115" s="720">
        <v>3544011</v>
      </c>
      <c r="F115" s="720">
        <v>0</v>
      </c>
      <c r="G115" s="719">
        <v>0</v>
      </c>
      <c r="H115" s="1116">
        <f>2403223+2063514</f>
        <v>4466737</v>
      </c>
      <c r="I115" s="722">
        <f>+J115+K115+L115+M115</f>
        <v>8010748</v>
      </c>
      <c r="J115" s="720">
        <v>3544011</v>
      </c>
      <c r="K115" s="1917">
        <v>0</v>
      </c>
      <c r="L115" s="720">
        <v>0</v>
      </c>
      <c r="M115" s="1116">
        <f>2403223+2063514</f>
        <v>4466737</v>
      </c>
      <c r="N115" s="848">
        <f>+J115+K115+P115</f>
        <v>3544011</v>
      </c>
      <c r="O115" s="723">
        <f t="shared" si="82"/>
        <v>44.240700119389601</v>
      </c>
      <c r="P115" s="719">
        <v>0</v>
      </c>
      <c r="Q115" s="719">
        <v>0</v>
      </c>
      <c r="R115" s="2217">
        <f t="shared" si="84"/>
        <v>0</v>
      </c>
      <c r="S115" s="2990"/>
      <c r="T115" s="2111">
        <f t="shared" si="96"/>
        <v>0</v>
      </c>
    </row>
    <row r="116" spans="1:21" s="2169" customFormat="1" ht="41.25" customHeight="1" x14ac:dyDescent="0.2">
      <c r="A116" s="3232" t="s">
        <v>53</v>
      </c>
      <c r="B116" s="2228" t="s">
        <v>237</v>
      </c>
      <c r="C116" s="2241" t="s">
        <v>225</v>
      </c>
      <c r="D116" s="2162"/>
      <c r="E116" s="2163"/>
      <c r="F116" s="2163"/>
      <c r="G116" s="2163"/>
      <c r="H116" s="2164"/>
      <c r="I116" s="2162"/>
      <c r="J116" s="2163"/>
      <c r="K116" s="2163"/>
      <c r="L116" s="2163"/>
      <c r="M116" s="2248"/>
      <c r="N116" s="2167"/>
      <c r="O116" s="2243"/>
      <c r="P116" s="2244"/>
      <c r="Q116" s="2243"/>
      <c r="R116" s="2168"/>
      <c r="S116" s="2988" t="s">
        <v>230</v>
      </c>
      <c r="T116" s="2111">
        <f t="shared" si="96"/>
        <v>0</v>
      </c>
    </row>
    <row r="117" spans="1:21" s="2175" customFormat="1" ht="13.5" customHeight="1" x14ac:dyDescent="0.2">
      <c r="A117" s="3209"/>
      <c r="B117" s="787" t="s">
        <v>3</v>
      </c>
      <c r="C117" s="2245"/>
      <c r="D117" s="711">
        <f t="shared" ref="D117:H117" si="104">+D118+D120</f>
        <v>19723223</v>
      </c>
      <c r="E117" s="686">
        <f t="shared" si="104"/>
        <v>0</v>
      </c>
      <c r="F117" s="686">
        <f t="shared" si="104"/>
        <v>398692</v>
      </c>
      <c r="G117" s="686">
        <f t="shared" si="104"/>
        <v>3148327</v>
      </c>
      <c r="H117" s="2172">
        <f t="shared" si="104"/>
        <v>16176204</v>
      </c>
      <c r="I117" s="711">
        <f t="shared" ref="I117:M117" si="105">+I118+I120</f>
        <v>19658402.34</v>
      </c>
      <c r="J117" s="686">
        <f t="shared" si="105"/>
        <v>0</v>
      </c>
      <c r="K117" s="2139">
        <f>+K118+K120</f>
        <v>333871.34000000003</v>
      </c>
      <c r="L117" s="686">
        <f t="shared" si="105"/>
        <v>3148327</v>
      </c>
      <c r="M117" s="2172">
        <f t="shared" si="105"/>
        <v>16176204</v>
      </c>
      <c r="N117" s="2173">
        <f>N118+N120</f>
        <v>336547.26</v>
      </c>
      <c r="O117" s="712">
        <f t="shared" si="82"/>
        <v>1.7063502248085924</v>
      </c>
      <c r="P117" s="686">
        <f>+P118+P120</f>
        <v>2675.92</v>
      </c>
      <c r="Q117" s="712">
        <f t="shared" si="83"/>
        <v>8.499498304972769E-2</v>
      </c>
      <c r="R117" s="2174">
        <f t="shared" si="84"/>
        <v>-784405.83</v>
      </c>
      <c r="S117" s="2989"/>
      <c r="T117" s="2111">
        <f t="shared" si="96"/>
        <v>0</v>
      </c>
    </row>
    <row r="118" spans="1:21" s="2175" customFormat="1" ht="13.5" customHeight="1" x14ac:dyDescent="0.2">
      <c r="A118" s="3209"/>
      <c r="B118" s="2176" t="s">
        <v>4</v>
      </c>
      <c r="C118" s="3224" t="s">
        <v>227</v>
      </c>
      <c r="D118" s="837">
        <f>+D119</f>
        <v>9342571</v>
      </c>
      <c r="E118" s="839">
        <v>0</v>
      </c>
      <c r="F118" s="839">
        <f>SUM(F119:F119)</f>
        <v>0</v>
      </c>
      <c r="G118" s="839">
        <f>SUM(G119:G119)</f>
        <v>2335159</v>
      </c>
      <c r="H118" s="2178">
        <f>SUM(H119:H119)</f>
        <v>7007412</v>
      </c>
      <c r="I118" s="837">
        <f>+I119</f>
        <v>9342571</v>
      </c>
      <c r="J118" s="839">
        <v>0</v>
      </c>
      <c r="K118" s="866">
        <f>K119</f>
        <v>0</v>
      </c>
      <c r="L118" s="839">
        <f>SUM(L119:L119)</f>
        <v>2335159</v>
      </c>
      <c r="M118" s="2178">
        <f>SUM(M119:M119)</f>
        <v>7007412</v>
      </c>
      <c r="N118" s="2179">
        <f>N119</f>
        <v>0</v>
      </c>
      <c r="O118" s="2180">
        <f t="shared" si="82"/>
        <v>0</v>
      </c>
      <c r="P118" s="2237">
        <f>P119</f>
        <v>0</v>
      </c>
      <c r="Q118" s="2180">
        <f t="shared" si="83"/>
        <v>0</v>
      </c>
      <c r="R118" s="2181">
        <f t="shared" si="84"/>
        <v>-583789.75</v>
      </c>
      <c r="S118" s="2989"/>
      <c r="T118" s="2111">
        <f t="shared" si="96"/>
        <v>0</v>
      </c>
    </row>
    <row r="119" spans="1:21" s="2169" customFormat="1" ht="13.5" customHeight="1" x14ac:dyDescent="0.2">
      <c r="A119" s="3209"/>
      <c r="B119" s="696" t="s">
        <v>11</v>
      </c>
      <c r="C119" s="3229"/>
      <c r="D119" s="701">
        <f>+E119+F119+G119+H119</f>
        <v>9342571</v>
      </c>
      <c r="E119" s="699">
        <v>0</v>
      </c>
      <c r="F119" s="699">
        <v>0</v>
      </c>
      <c r="G119" s="699">
        <v>2335159</v>
      </c>
      <c r="H119" s="1358">
        <f>9342571-2335159</f>
        <v>7007412</v>
      </c>
      <c r="I119" s="701">
        <f>+J119+K119+L119+M119</f>
        <v>9342571</v>
      </c>
      <c r="J119" s="699">
        <v>0</v>
      </c>
      <c r="K119" s="1600">
        <v>0</v>
      </c>
      <c r="L119" s="699">
        <v>2335159</v>
      </c>
      <c r="M119" s="1358">
        <f>9342571-2335159</f>
        <v>7007412</v>
      </c>
      <c r="N119" s="848">
        <f>+J119+K119+P119</f>
        <v>0</v>
      </c>
      <c r="O119" s="702">
        <f t="shared" si="82"/>
        <v>0</v>
      </c>
      <c r="P119" s="699">
        <v>0</v>
      </c>
      <c r="Q119" s="702">
        <f t="shared" si="83"/>
        <v>0</v>
      </c>
      <c r="R119" s="2188">
        <f t="shared" si="84"/>
        <v>-583789.75</v>
      </c>
      <c r="S119" s="2989"/>
      <c r="T119" s="2111">
        <f t="shared" si="96"/>
        <v>0</v>
      </c>
      <c r="U119" s="2247"/>
    </row>
    <row r="120" spans="1:21" s="2169" customFormat="1" ht="13.5" customHeight="1" x14ac:dyDescent="0.2">
      <c r="A120" s="3209"/>
      <c r="B120" s="2176" t="s">
        <v>13</v>
      </c>
      <c r="C120" s="3229"/>
      <c r="D120" s="837">
        <f t="shared" ref="D120:H120" si="106">+D121</f>
        <v>10380652</v>
      </c>
      <c r="E120" s="839">
        <f t="shared" si="106"/>
        <v>0</v>
      </c>
      <c r="F120" s="839">
        <f t="shared" si="106"/>
        <v>398692</v>
      </c>
      <c r="G120" s="839">
        <f t="shared" si="106"/>
        <v>813168</v>
      </c>
      <c r="H120" s="2178">
        <f t="shared" si="106"/>
        <v>9168792</v>
      </c>
      <c r="I120" s="837">
        <f t="shared" ref="I120:N120" si="107">+I121</f>
        <v>10315831.34</v>
      </c>
      <c r="J120" s="839">
        <f t="shared" si="107"/>
        <v>0</v>
      </c>
      <c r="K120" s="821">
        <f>+K121</f>
        <v>333871.34000000003</v>
      </c>
      <c r="L120" s="839">
        <f t="shared" si="107"/>
        <v>813168</v>
      </c>
      <c r="M120" s="2178">
        <f t="shared" si="107"/>
        <v>9168792</v>
      </c>
      <c r="N120" s="2179">
        <f t="shared" si="107"/>
        <v>336547.26</v>
      </c>
      <c r="O120" s="2180">
        <f t="shared" si="82"/>
        <v>3.2420628299648229</v>
      </c>
      <c r="P120" s="2237">
        <f>+P121</f>
        <v>2675.92</v>
      </c>
      <c r="Q120" s="2180">
        <f t="shared" si="83"/>
        <v>0.32907345099659607</v>
      </c>
      <c r="R120" s="2181">
        <f t="shared" si="84"/>
        <v>-200616.08</v>
      </c>
      <c r="S120" s="2989"/>
      <c r="T120" s="2111">
        <f t="shared" si="96"/>
        <v>0</v>
      </c>
    </row>
    <row r="121" spans="1:21" s="2169" customFormat="1" ht="13.5" customHeight="1" x14ac:dyDescent="0.2">
      <c r="A121" s="3209"/>
      <c r="B121" s="2182" t="s">
        <v>14</v>
      </c>
      <c r="C121" s="3230"/>
      <c r="D121" s="701">
        <f>+E121+F121+G121+H121</f>
        <v>10380652</v>
      </c>
      <c r="E121" s="699">
        <v>0</v>
      </c>
      <c r="F121" s="699">
        <v>398692</v>
      </c>
      <c r="G121" s="699">
        <v>813168</v>
      </c>
      <c r="H121" s="1358">
        <f>9981960-813168</f>
        <v>9168792</v>
      </c>
      <c r="I121" s="701">
        <f>+J121+K121+L121+M121</f>
        <v>10315831.34</v>
      </c>
      <c r="J121" s="699">
        <v>0</v>
      </c>
      <c r="K121" s="2186">
        <v>333871.34000000003</v>
      </c>
      <c r="L121" s="699">
        <v>813168</v>
      </c>
      <c r="M121" s="1358">
        <f>9981960-813168</f>
        <v>9168792</v>
      </c>
      <c r="N121" s="848">
        <f>+J121+K121+P121</f>
        <v>336547.26</v>
      </c>
      <c r="O121" s="2187">
        <f t="shared" si="82"/>
        <v>3.2420628299648229</v>
      </c>
      <c r="P121" s="699">
        <v>2675.92</v>
      </c>
      <c r="Q121" s="2187">
        <f t="shared" si="83"/>
        <v>0.32907345099659607</v>
      </c>
      <c r="R121" s="2188">
        <f t="shared" si="84"/>
        <v>-200616.08</v>
      </c>
      <c r="S121" s="2989"/>
      <c r="T121" s="2111">
        <f t="shared" si="96"/>
        <v>0</v>
      </c>
    </row>
    <row r="122" spans="1:21" s="2169" customFormat="1" ht="13.5" customHeight="1" x14ac:dyDescent="0.2">
      <c r="A122" s="3209"/>
      <c r="B122" s="787" t="s">
        <v>17</v>
      </c>
      <c r="C122" s="2245"/>
      <c r="D122" s="711">
        <f t="shared" ref="D122:H122" si="108">+D123+D125</f>
        <v>19723223</v>
      </c>
      <c r="E122" s="686">
        <f t="shared" si="108"/>
        <v>0</v>
      </c>
      <c r="F122" s="686">
        <f t="shared" si="108"/>
        <v>4405356</v>
      </c>
      <c r="G122" s="686">
        <f t="shared" si="108"/>
        <v>2335159</v>
      </c>
      <c r="H122" s="2172">
        <f t="shared" si="108"/>
        <v>12982708</v>
      </c>
      <c r="I122" s="711">
        <f t="shared" ref="I122:M122" si="109">+I123+I125</f>
        <v>19723223</v>
      </c>
      <c r="J122" s="686">
        <f t="shared" si="109"/>
        <v>0</v>
      </c>
      <c r="K122" s="2139">
        <f>K123+K125</f>
        <v>4405356</v>
      </c>
      <c r="L122" s="686">
        <f t="shared" si="109"/>
        <v>2335159</v>
      </c>
      <c r="M122" s="2172">
        <f t="shared" si="109"/>
        <v>12982708</v>
      </c>
      <c r="N122" s="2173">
        <f>N123+N125</f>
        <v>4405356</v>
      </c>
      <c r="O122" s="712">
        <f t="shared" si="82"/>
        <v>22.335882933534748</v>
      </c>
      <c r="P122" s="686">
        <f>P123+P125</f>
        <v>0</v>
      </c>
      <c r="Q122" s="712">
        <f t="shared" si="83"/>
        <v>0</v>
      </c>
      <c r="R122" s="2174">
        <f t="shared" si="84"/>
        <v>-583789.75</v>
      </c>
      <c r="S122" s="2989"/>
      <c r="T122" s="2111">
        <f t="shared" si="96"/>
        <v>0</v>
      </c>
      <c r="U122" s="2194"/>
    </row>
    <row r="123" spans="1:21" s="2175" customFormat="1" ht="13.5" customHeight="1" x14ac:dyDescent="0.2">
      <c r="A123" s="3209"/>
      <c r="B123" s="2176" t="s">
        <v>4</v>
      </c>
      <c r="C123" s="3224" t="s">
        <v>227</v>
      </c>
      <c r="D123" s="837">
        <f>+D124</f>
        <v>9342571</v>
      </c>
      <c r="E123" s="839">
        <v>0</v>
      </c>
      <c r="F123" s="839">
        <f>SUM(F124:F124)</f>
        <v>0</v>
      </c>
      <c r="G123" s="839">
        <f>SUM(G124:G124)</f>
        <v>2335159</v>
      </c>
      <c r="H123" s="2178">
        <f>SUM(H124:H124)</f>
        <v>7007412</v>
      </c>
      <c r="I123" s="837">
        <f>+I124</f>
        <v>9342571</v>
      </c>
      <c r="J123" s="839">
        <v>0</v>
      </c>
      <c r="K123" s="2220">
        <f>SUM(K124:K124)</f>
        <v>0</v>
      </c>
      <c r="L123" s="839">
        <f>SUM(L124:L124)</f>
        <v>2335159</v>
      </c>
      <c r="M123" s="2178">
        <f>SUM(M124:M124)</f>
        <v>7007412</v>
      </c>
      <c r="N123" s="2179">
        <f>N124</f>
        <v>0</v>
      </c>
      <c r="O123" s="2180">
        <f t="shared" si="82"/>
        <v>0</v>
      </c>
      <c r="P123" s="839">
        <f>SUM(P124:P124)</f>
        <v>0</v>
      </c>
      <c r="Q123" s="2180">
        <f t="shared" si="83"/>
        <v>0</v>
      </c>
      <c r="R123" s="2181">
        <f t="shared" si="84"/>
        <v>-583789.75</v>
      </c>
      <c r="S123" s="2989"/>
      <c r="T123" s="2111">
        <f t="shared" si="96"/>
        <v>0</v>
      </c>
    </row>
    <row r="124" spans="1:21" s="2169" customFormat="1" ht="13.5" customHeight="1" x14ac:dyDescent="0.2">
      <c r="A124" s="3209"/>
      <c r="B124" s="696" t="s">
        <v>37</v>
      </c>
      <c r="C124" s="3229"/>
      <c r="D124" s="701">
        <f>+E124+F124+G124+H124</f>
        <v>9342571</v>
      </c>
      <c r="E124" s="699">
        <v>0</v>
      </c>
      <c r="F124" s="699">
        <v>0</v>
      </c>
      <c r="G124" s="699">
        <v>2335159</v>
      </c>
      <c r="H124" s="1358">
        <f>3719572+129366+2898095+260379</f>
        <v>7007412</v>
      </c>
      <c r="I124" s="701">
        <f>+J124+K124+L124+M124</f>
        <v>9342571</v>
      </c>
      <c r="J124" s="699">
        <v>0</v>
      </c>
      <c r="K124" s="1600">
        <v>0</v>
      </c>
      <c r="L124" s="699">
        <v>2335159</v>
      </c>
      <c r="M124" s="1358">
        <f>3719572+129366+2898095+260379</f>
        <v>7007412</v>
      </c>
      <c r="N124" s="848">
        <f>+J124+K124+P124</f>
        <v>0</v>
      </c>
      <c r="O124" s="702">
        <f t="shared" si="82"/>
        <v>0</v>
      </c>
      <c r="P124" s="699">
        <v>0</v>
      </c>
      <c r="Q124" s="702">
        <f t="shared" si="83"/>
        <v>0</v>
      </c>
      <c r="R124" s="2188">
        <f t="shared" si="84"/>
        <v>-583789.75</v>
      </c>
      <c r="S124" s="2989"/>
      <c r="T124" s="2111">
        <f t="shared" si="96"/>
        <v>0</v>
      </c>
      <c r="U124" s="2247"/>
    </row>
    <row r="125" spans="1:21" s="2169" customFormat="1" ht="13.5" customHeight="1" x14ac:dyDescent="0.2">
      <c r="A125" s="3209"/>
      <c r="B125" s="2176" t="s">
        <v>13</v>
      </c>
      <c r="C125" s="3229"/>
      <c r="D125" s="837">
        <f t="shared" ref="D125:M125" si="110">+D126</f>
        <v>10380652</v>
      </c>
      <c r="E125" s="839">
        <f t="shared" si="110"/>
        <v>0</v>
      </c>
      <c r="F125" s="839">
        <f t="shared" si="110"/>
        <v>4405356</v>
      </c>
      <c r="G125" s="2219">
        <f t="shared" si="110"/>
        <v>0</v>
      </c>
      <c r="H125" s="2178">
        <f t="shared" si="110"/>
        <v>5975296</v>
      </c>
      <c r="I125" s="837">
        <f t="shared" si="110"/>
        <v>10380652</v>
      </c>
      <c r="J125" s="839">
        <f t="shared" si="110"/>
        <v>0</v>
      </c>
      <c r="K125" s="821">
        <f>+K126</f>
        <v>4405356</v>
      </c>
      <c r="L125" s="839">
        <f t="shared" si="110"/>
        <v>0</v>
      </c>
      <c r="M125" s="2178">
        <f t="shared" si="110"/>
        <v>5975296</v>
      </c>
      <c r="N125" s="2179">
        <f>N126</f>
        <v>4405356</v>
      </c>
      <c r="O125" s="2180">
        <f t="shared" si="82"/>
        <v>42.438143577108647</v>
      </c>
      <c r="P125" s="2219">
        <f>+P126</f>
        <v>0</v>
      </c>
      <c r="Q125" s="2220">
        <v>0</v>
      </c>
      <c r="R125" s="2181">
        <f t="shared" si="84"/>
        <v>0</v>
      </c>
      <c r="S125" s="2989"/>
      <c r="T125" s="2111">
        <f t="shared" si="96"/>
        <v>0</v>
      </c>
    </row>
    <row r="126" spans="1:21" s="2169" customFormat="1" ht="13.5" customHeight="1" thickBot="1" x14ac:dyDescent="0.25">
      <c r="A126" s="2916"/>
      <c r="B126" s="780" t="s">
        <v>14</v>
      </c>
      <c r="C126" s="3231"/>
      <c r="D126" s="701">
        <f>+E126+F126+G126+H126</f>
        <v>10380652</v>
      </c>
      <c r="E126" s="699">
        <v>0</v>
      </c>
      <c r="F126" s="699">
        <v>4405356</v>
      </c>
      <c r="G126" s="698">
        <v>0</v>
      </c>
      <c r="H126" s="1358">
        <f>4152261+1823035</f>
        <v>5975296</v>
      </c>
      <c r="I126" s="701">
        <f>+J126+K126+L126+M126</f>
        <v>10380652</v>
      </c>
      <c r="J126" s="699">
        <v>0</v>
      </c>
      <c r="K126" s="2198">
        <v>4405356</v>
      </c>
      <c r="L126" s="699">
        <v>0</v>
      </c>
      <c r="M126" s="1358">
        <f>4152261+1823035</f>
        <v>5975296</v>
      </c>
      <c r="N126" s="848">
        <f>+J126+K126+P126</f>
        <v>4405356</v>
      </c>
      <c r="O126" s="2187">
        <f t="shared" si="82"/>
        <v>42.438143577108647</v>
      </c>
      <c r="P126" s="698">
        <v>0</v>
      </c>
      <c r="Q126" s="1352">
        <v>0</v>
      </c>
      <c r="R126" s="2188">
        <f t="shared" si="84"/>
        <v>0</v>
      </c>
      <c r="S126" s="2990"/>
      <c r="T126" s="2111">
        <f t="shared" si="96"/>
        <v>0</v>
      </c>
    </row>
    <row r="127" spans="1:21" s="2169" customFormat="1" ht="39" customHeight="1" thickBot="1" x14ac:dyDescent="0.25">
      <c r="A127" s="3208" t="s">
        <v>54</v>
      </c>
      <c r="B127" s="2160" t="s">
        <v>238</v>
      </c>
      <c r="C127" s="2241" t="s">
        <v>225</v>
      </c>
      <c r="D127" s="2162"/>
      <c r="E127" s="2163"/>
      <c r="F127" s="2163"/>
      <c r="G127" s="2163"/>
      <c r="H127" s="2164"/>
      <c r="I127" s="2162"/>
      <c r="J127" s="2163"/>
      <c r="K127" s="2163"/>
      <c r="L127" s="2163"/>
      <c r="M127" s="2164"/>
      <c r="N127" s="2242"/>
      <c r="O127" s="2243"/>
      <c r="P127" s="2244"/>
      <c r="Q127" s="2243"/>
      <c r="R127" s="2168"/>
      <c r="S127" s="2988" t="s">
        <v>226</v>
      </c>
      <c r="T127" s="2111">
        <f t="shared" si="96"/>
        <v>0</v>
      </c>
    </row>
    <row r="128" spans="1:21" s="2175" customFormat="1" ht="13.5" customHeight="1" x14ac:dyDescent="0.2">
      <c r="A128" s="3209"/>
      <c r="B128" s="787" t="s">
        <v>3</v>
      </c>
      <c r="C128" s="2245"/>
      <c r="D128" s="711">
        <f t="shared" ref="D128:E128" si="111">+D129+D131</f>
        <v>130802037</v>
      </c>
      <c r="E128" s="686">
        <f t="shared" si="111"/>
        <v>68945235</v>
      </c>
      <c r="F128" s="686">
        <f>+F129+F131</f>
        <v>29669817</v>
      </c>
      <c r="G128" s="686">
        <f t="shared" ref="G128:H128" si="112">+G129+G131</f>
        <v>17479000</v>
      </c>
      <c r="H128" s="2172">
        <f t="shared" si="112"/>
        <v>14707985</v>
      </c>
      <c r="I128" s="711">
        <f t="shared" ref="I128:N128" si="113">+I129+I131</f>
        <v>130801978.22</v>
      </c>
      <c r="J128" s="686">
        <f t="shared" si="113"/>
        <v>68945235</v>
      </c>
      <c r="K128" s="2249">
        <f>+K129+K131</f>
        <v>29669758.219999999</v>
      </c>
      <c r="L128" s="686">
        <f t="shared" si="113"/>
        <v>17479000</v>
      </c>
      <c r="M128" s="2172">
        <f t="shared" si="113"/>
        <v>14707985</v>
      </c>
      <c r="N128" s="2173">
        <f t="shared" si="113"/>
        <v>100997303.21000001</v>
      </c>
      <c r="O128" s="712">
        <f t="shared" si="82"/>
        <v>77.213861134287995</v>
      </c>
      <c r="P128" s="686">
        <f>+P129+P131</f>
        <v>2382309.9900000002</v>
      </c>
      <c r="Q128" s="712">
        <f t="shared" si="83"/>
        <v>13.629555409348363</v>
      </c>
      <c r="R128" s="2174">
        <f t="shared" si="84"/>
        <v>-1987440.0099999998</v>
      </c>
      <c r="S128" s="2989"/>
      <c r="T128" s="2111">
        <f t="shared" si="96"/>
        <v>0</v>
      </c>
    </row>
    <row r="129" spans="1:21" s="2175" customFormat="1" ht="13.5" customHeight="1" x14ac:dyDescent="0.2">
      <c r="A129" s="3209"/>
      <c r="B129" s="2176" t="s">
        <v>4</v>
      </c>
      <c r="C129" s="2825" t="s">
        <v>227</v>
      </c>
      <c r="D129" s="837">
        <f>+D130</f>
        <v>50601376</v>
      </c>
      <c r="E129" s="839">
        <f>+E130</f>
        <v>26462425</v>
      </c>
      <c r="F129" s="839">
        <f>SUM(F130:F130)</f>
        <v>11493793</v>
      </c>
      <c r="G129" s="839">
        <f>SUM(G130:G130)</f>
        <v>6552000</v>
      </c>
      <c r="H129" s="2178">
        <f>SUM(H130:H130)</f>
        <v>6093158</v>
      </c>
      <c r="I129" s="837">
        <f>+I130</f>
        <v>50601337.890000001</v>
      </c>
      <c r="J129" s="839">
        <f>+J130</f>
        <v>26462425</v>
      </c>
      <c r="K129" s="731">
        <f>SUM(K130:K130)</f>
        <v>11493754.890000001</v>
      </c>
      <c r="L129" s="839">
        <f>SUM(L130:L130)</f>
        <v>6552000</v>
      </c>
      <c r="M129" s="2178">
        <f>SUM(M130:M130)</f>
        <v>6093158</v>
      </c>
      <c r="N129" s="2179">
        <f>N130</f>
        <v>38884415.93</v>
      </c>
      <c r="O129" s="2180">
        <f t="shared" si="82"/>
        <v>76.844582111759181</v>
      </c>
      <c r="P129" s="2237">
        <f>SUM(P130:P130)</f>
        <v>928236.04</v>
      </c>
      <c r="Q129" s="2180">
        <f t="shared" si="83"/>
        <v>14.167216727716728</v>
      </c>
      <c r="R129" s="2181">
        <f t="shared" si="84"/>
        <v>-709763.96</v>
      </c>
      <c r="S129" s="2989"/>
      <c r="T129" s="2111">
        <f t="shared" si="96"/>
        <v>0</v>
      </c>
    </row>
    <row r="130" spans="1:21" s="2169" customFormat="1" ht="13.5" customHeight="1" x14ac:dyDescent="0.2">
      <c r="A130" s="3209"/>
      <c r="B130" s="696" t="s">
        <v>9</v>
      </c>
      <c r="C130" s="2816"/>
      <c r="D130" s="701">
        <f>+E130+F130+G130+H130</f>
        <v>50601376</v>
      </c>
      <c r="E130" s="699">
        <f>5317203+9351074-2530+11796678</f>
        <v>26462425</v>
      </c>
      <c r="F130" s="699">
        <v>11493793</v>
      </c>
      <c r="G130" s="699">
        <v>6552000</v>
      </c>
      <c r="H130" s="1358">
        <f>6093158</f>
        <v>6093158</v>
      </c>
      <c r="I130" s="701">
        <f>+J130+K130+L130+M130</f>
        <v>50601337.890000001</v>
      </c>
      <c r="J130" s="699">
        <f>5317203+9351074-2530+11796678</f>
        <v>26462425</v>
      </c>
      <c r="K130" s="2186">
        <v>11493754.890000001</v>
      </c>
      <c r="L130" s="699">
        <v>6552000</v>
      </c>
      <c r="M130" s="1358">
        <f>6093158</f>
        <v>6093158</v>
      </c>
      <c r="N130" s="848">
        <f>K130+P130+J130</f>
        <v>38884415.93</v>
      </c>
      <c r="O130" s="702">
        <f t="shared" si="82"/>
        <v>76.844582111759181</v>
      </c>
      <c r="P130" s="699">
        <f>443544.71+484691.33</f>
        <v>928236.04</v>
      </c>
      <c r="Q130" s="702">
        <f t="shared" si="83"/>
        <v>14.167216727716728</v>
      </c>
      <c r="R130" s="2188">
        <f t="shared" si="84"/>
        <v>-709763.96</v>
      </c>
      <c r="S130" s="2989"/>
      <c r="T130" s="2111">
        <f t="shared" si="96"/>
        <v>0</v>
      </c>
    </row>
    <row r="131" spans="1:21" s="2169" customFormat="1" ht="13.5" customHeight="1" x14ac:dyDescent="0.2">
      <c r="A131" s="3209"/>
      <c r="B131" s="2176" t="s">
        <v>13</v>
      </c>
      <c r="C131" s="2816"/>
      <c r="D131" s="837">
        <f t="shared" ref="D131:H131" si="114">+D133+D132</f>
        <v>80200661</v>
      </c>
      <c r="E131" s="839">
        <f t="shared" si="114"/>
        <v>42482810</v>
      </c>
      <c r="F131" s="839">
        <f t="shared" si="114"/>
        <v>18176024</v>
      </c>
      <c r="G131" s="839">
        <f t="shared" si="114"/>
        <v>10927000</v>
      </c>
      <c r="H131" s="2178">
        <f t="shared" si="114"/>
        <v>8614827</v>
      </c>
      <c r="I131" s="837">
        <f t="shared" ref="I131:N131" si="115">+I133+I132</f>
        <v>80200640.329999998</v>
      </c>
      <c r="J131" s="839">
        <f t="shared" si="115"/>
        <v>42482810</v>
      </c>
      <c r="K131" s="821">
        <f>+K133+K132</f>
        <v>18176003.329999998</v>
      </c>
      <c r="L131" s="839">
        <f t="shared" si="115"/>
        <v>10927000</v>
      </c>
      <c r="M131" s="2178">
        <f t="shared" si="115"/>
        <v>8614827</v>
      </c>
      <c r="N131" s="2179">
        <f t="shared" si="115"/>
        <v>62112887.280000001</v>
      </c>
      <c r="O131" s="2180">
        <f t="shared" si="82"/>
        <v>77.446852065221762</v>
      </c>
      <c r="P131" s="2237">
        <f>+P133+P132</f>
        <v>1454073.95</v>
      </c>
      <c r="Q131" s="2180">
        <f t="shared" si="83"/>
        <v>13.307165278667521</v>
      </c>
      <c r="R131" s="2181">
        <f t="shared" si="84"/>
        <v>-1277676.05</v>
      </c>
      <c r="S131" s="2989"/>
      <c r="T131" s="2111">
        <f t="shared" si="96"/>
        <v>0</v>
      </c>
    </row>
    <row r="132" spans="1:21" s="2169" customFormat="1" ht="13.5" customHeight="1" x14ac:dyDescent="0.2">
      <c r="A132" s="3209"/>
      <c r="B132" s="1989" t="s">
        <v>15</v>
      </c>
      <c r="C132" s="2816"/>
      <c r="D132" s="701">
        <f>+E132+F132+G132+H132</f>
        <v>56150160</v>
      </c>
      <c r="E132" s="699">
        <v>18432309</v>
      </c>
      <c r="F132" s="699">
        <v>18176024</v>
      </c>
      <c r="G132" s="699">
        <v>10927000</v>
      </c>
      <c r="H132" s="1358">
        <v>8614827</v>
      </c>
      <c r="I132" s="701">
        <f>+J132+K132+L132+M132</f>
        <v>56150139.329999998</v>
      </c>
      <c r="J132" s="699">
        <v>18432309</v>
      </c>
      <c r="K132" s="2186">
        <v>18176003.329999998</v>
      </c>
      <c r="L132" s="699">
        <v>10927000</v>
      </c>
      <c r="M132" s="1358">
        <v>8614827</v>
      </c>
      <c r="N132" s="848">
        <f>K132+P132+J132</f>
        <v>38062386.280000001</v>
      </c>
      <c r="O132" s="2187">
        <f t="shared" si="82"/>
        <v>67.786781515849654</v>
      </c>
      <c r="P132" s="699">
        <v>1454073.95</v>
      </c>
      <c r="Q132" s="2187">
        <f t="shared" si="83"/>
        <v>13.307165278667521</v>
      </c>
      <c r="R132" s="2188">
        <f t="shared" si="84"/>
        <v>-1277676.05</v>
      </c>
      <c r="S132" s="2989"/>
      <c r="T132" s="2111">
        <f t="shared" si="96"/>
        <v>0</v>
      </c>
    </row>
    <row r="133" spans="1:21" s="2169" customFormat="1" ht="13.5" customHeight="1" x14ac:dyDescent="0.2">
      <c r="A133" s="3209"/>
      <c r="B133" s="696" t="s">
        <v>9</v>
      </c>
      <c r="C133" s="2816"/>
      <c r="D133" s="701">
        <f>+E133+F133+G133+H133</f>
        <v>24050501</v>
      </c>
      <c r="E133" s="699">
        <f>9132612+14921926-4037</f>
        <v>24050501</v>
      </c>
      <c r="F133" s="699">
        <v>0</v>
      </c>
      <c r="G133" s="698">
        <v>0</v>
      </c>
      <c r="H133" s="700">
        <v>0</v>
      </c>
      <c r="I133" s="710">
        <f>+J133+K133+L133+M133</f>
        <v>24050501</v>
      </c>
      <c r="J133" s="698">
        <f>9132612+14921926-4037</f>
        <v>24050501</v>
      </c>
      <c r="K133" s="1600">
        <v>0</v>
      </c>
      <c r="L133" s="699">
        <v>0</v>
      </c>
      <c r="M133" s="1358">
        <v>0</v>
      </c>
      <c r="N133" s="848">
        <f>K133+P133+J133</f>
        <v>24050501</v>
      </c>
      <c r="O133" s="2187">
        <f t="shared" si="82"/>
        <v>100</v>
      </c>
      <c r="P133" s="698">
        <v>0</v>
      </c>
      <c r="Q133" s="1352">
        <v>0</v>
      </c>
      <c r="R133" s="2188">
        <f t="shared" si="84"/>
        <v>0</v>
      </c>
      <c r="S133" s="2989"/>
      <c r="T133" s="2111">
        <f t="shared" si="96"/>
        <v>0</v>
      </c>
    </row>
    <row r="134" spans="1:21" s="2169" customFormat="1" ht="13.5" customHeight="1" x14ac:dyDescent="0.2">
      <c r="A134" s="3209"/>
      <c r="B134" s="787" t="s">
        <v>17</v>
      </c>
      <c r="C134" s="2245"/>
      <c r="D134" s="711">
        <f t="shared" ref="D134:H134" si="116">+D135+D138</f>
        <v>130802037</v>
      </c>
      <c r="E134" s="686">
        <f t="shared" si="116"/>
        <v>68945235</v>
      </c>
      <c r="F134" s="686">
        <f t="shared" si="116"/>
        <v>29669817</v>
      </c>
      <c r="G134" s="686">
        <f t="shared" si="116"/>
        <v>17479000</v>
      </c>
      <c r="H134" s="2172">
        <f t="shared" si="116"/>
        <v>14707985</v>
      </c>
      <c r="I134" s="711">
        <f t="shared" ref="I134:M134" si="117">+I135+I138</f>
        <v>130801978.22</v>
      </c>
      <c r="J134" s="686">
        <f>+J135+J138</f>
        <v>68945235</v>
      </c>
      <c r="K134" s="2139">
        <f>+K135+K138</f>
        <v>29669758.219999999</v>
      </c>
      <c r="L134" s="686">
        <f t="shared" si="117"/>
        <v>17479000</v>
      </c>
      <c r="M134" s="2172">
        <f t="shared" si="117"/>
        <v>14707985</v>
      </c>
      <c r="N134" s="2173">
        <f>+N135+N138</f>
        <v>100997303.22</v>
      </c>
      <c r="O134" s="712">
        <f t="shared" si="82"/>
        <v>77.213861141933137</v>
      </c>
      <c r="P134" s="686">
        <f>+P135+P138</f>
        <v>2382310</v>
      </c>
      <c r="Q134" s="712">
        <f t="shared" si="83"/>
        <v>13.629555466559873</v>
      </c>
      <c r="R134" s="2174">
        <f t="shared" si="84"/>
        <v>-1987440</v>
      </c>
      <c r="S134" s="2989"/>
      <c r="T134" s="2111">
        <f t="shared" si="96"/>
        <v>0</v>
      </c>
      <c r="U134" s="2194"/>
    </row>
    <row r="135" spans="1:21" s="262" customFormat="1" ht="14.25" customHeight="1" x14ac:dyDescent="0.2">
      <c r="A135" s="3209"/>
      <c r="B135" s="2176" t="s">
        <v>4</v>
      </c>
      <c r="C135" s="3228" t="s">
        <v>227</v>
      </c>
      <c r="D135" s="837">
        <f>+D136</f>
        <v>50601376</v>
      </c>
      <c r="E135" s="839">
        <f>+E136</f>
        <v>26462425</v>
      </c>
      <c r="F135" s="839">
        <f>SUM(F136:F136)</f>
        <v>11493793</v>
      </c>
      <c r="G135" s="839">
        <f>SUM(G136:G136)</f>
        <v>6552000</v>
      </c>
      <c r="H135" s="2178">
        <f>SUM(H136:H136)</f>
        <v>6093158</v>
      </c>
      <c r="I135" s="837">
        <f>+I136</f>
        <v>50601337.890000001</v>
      </c>
      <c r="J135" s="839">
        <f>+J136</f>
        <v>26462425</v>
      </c>
      <c r="K135" s="731">
        <f>SUM(K136:K136)</f>
        <v>11493754.890000001</v>
      </c>
      <c r="L135" s="839">
        <f>SUM(L136:L136)</f>
        <v>6552000</v>
      </c>
      <c r="M135" s="2178">
        <f>SUM(M136:M136)</f>
        <v>6093158</v>
      </c>
      <c r="N135" s="2179">
        <f>SUM(N136:N136)</f>
        <v>38884415.890000001</v>
      </c>
      <c r="O135" s="793">
        <f t="shared" si="82"/>
        <v>76.844582032709937</v>
      </c>
      <c r="P135" s="839">
        <f>SUM(P136:P136)</f>
        <v>928236</v>
      </c>
      <c r="Q135" s="793">
        <f t="shared" si="83"/>
        <v>14.167216117216116</v>
      </c>
      <c r="R135" s="2181">
        <f t="shared" si="84"/>
        <v>-709764</v>
      </c>
      <c r="S135" s="2989"/>
      <c r="T135" s="2111">
        <f t="shared" si="96"/>
        <v>0</v>
      </c>
      <c r="U135" s="2194"/>
    </row>
    <row r="136" spans="1:21" s="262" customFormat="1" ht="13.5" customHeight="1" x14ac:dyDescent="0.2">
      <c r="A136" s="3209"/>
      <c r="B136" s="696" t="s">
        <v>9</v>
      </c>
      <c r="C136" s="2816"/>
      <c r="D136" s="701">
        <f>+E136+F136+G136+H136</f>
        <v>50601376</v>
      </c>
      <c r="E136" s="699">
        <f>5317203+9351074-2530+11796678</f>
        <v>26462425</v>
      </c>
      <c r="F136" s="699">
        <v>11493793</v>
      </c>
      <c r="G136" s="699">
        <v>6552000</v>
      </c>
      <c r="H136" s="1358">
        <f>6093158</f>
        <v>6093158</v>
      </c>
      <c r="I136" s="701">
        <f>+J136+K136+L136+M136</f>
        <v>50601337.890000001</v>
      </c>
      <c r="J136" s="699">
        <f>5317203+9351074-2530+11796678</f>
        <v>26462425</v>
      </c>
      <c r="K136" s="2186">
        <v>11493754.890000001</v>
      </c>
      <c r="L136" s="699">
        <v>6552000</v>
      </c>
      <c r="M136" s="1358">
        <f>6093158</f>
        <v>6093158</v>
      </c>
      <c r="N136" s="848">
        <f>K136+P136+J136</f>
        <v>38884415.890000001</v>
      </c>
      <c r="O136" s="702">
        <f t="shared" si="82"/>
        <v>76.844582032709937</v>
      </c>
      <c r="P136" s="699">
        <v>928236</v>
      </c>
      <c r="Q136" s="702">
        <f t="shared" si="83"/>
        <v>14.167216117216116</v>
      </c>
      <c r="R136" s="2188">
        <f t="shared" si="84"/>
        <v>-709764</v>
      </c>
      <c r="S136" s="2989"/>
      <c r="T136" s="2111">
        <f t="shared" si="96"/>
        <v>0</v>
      </c>
      <c r="U136" s="2194"/>
    </row>
    <row r="137" spans="1:21" s="262" customFormat="1" ht="13.5" hidden="1" customHeight="1" x14ac:dyDescent="0.2">
      <c r="A137" s="3209"/>
      <c r="B137" s="696" t="s">
        <v>15</v>
      </c>
      <c r="C137" s="2816"/>
      <c r="D137" s="492">
        <f>+E137+F137+G137+H137</f>
        <v>0</v>
      </c>
      <c r="E137" s="492"/>
      <c r="F137" s="492"/>
      <c r="G137" s="492"/>
      <c r="H137" s="492"/>
      <c r="I137" s="492">
        <f>+J137+K137+L137+M137</f>
        <v>0</v>
      </c>
      <c r="J137" s="492"/>
      <c r="K137" s="2186"/>
      <c r="L137" s="492"/>
      <c r="M137" s="492"/>
      <c r="N137" s="2250">
        <f>K137+P137+J137</f>
        <v>0</v>
      </c>
      <c r="O137" s="2223" t="e">
        <f t="shared" si="82"/>
        <v>#DIV/0!</v>
      </c>
      <c r="P137" s="2186"/>
      <c r="Q137" s="2223" t="e">
        <f t="shared" si="83"/>
        <v>#DIV/0!</v>
      </c>
      <c r="R137" s="492">
        <f t="shared" si="84"/>
        <v>0</v>
      </c>
      <c r="S137" s="2989"/>
      <c r="T137" s="2111">
        <f t="shared" si="96"/>
        <v>0</v>
      </c>
      <c r="U137" s="2194"/>
    </row>
    <row r="138" spans="1:21" s="262" customFormat="1" ht="12.75" customHeight="1" x14ac:dyDescent="0.2">
      <c r="A138" s="3209"/>
      <c r="B138" s="2176" t="s">
        <v>13</v>
      </c>
      <c r="C138" s="2816"/>
      <c r="D138" s="837">
        <f t="shared" ref="D138:N138" si="118">+D140+D139</f>
        <v>80200661</v>
      </c>
      <c r="E138" s="839">
        <f t="shared" si="118"/>
        <v>42482810</v>
      </c>
      <c r="F138" s="839">
        <f t="shared" si="118"/>
        <v>18176024</v>
      </c>
      <c r="G138" s="839">
        <f t="shared" si="118"/>
        <v>10927000</v>
      </c>
      <c r="H138" s="2178">
        <f t="shared" si="118"/>
        <v>8614827</v>
      </c>
      <c r="I138" s="837">
        <f t="shared" si="118"/>
        <v>80200640.329999998</v>
      </c>
      <c r="J138" s="839">
        <f t="shared" si="118"/>
        <v>42482810</v>
      </c>
      <c r="K138" s="821">
        <f>+K140+K139</f>
        <v>18176003.329999998</v>
      </c>
      <c r="L138" s="839">
        <f t="shared" si="118"/>
        <v>10927000</v>
      </c>
      <c r="M138" s="2178">
        <f t="shared" si="118"/>
        <v>8614827</v>
      </c>
      <c r="N138" s="2179">
        <f t="shared" si="118"/>
        <v>62112887.329999998</v>
      </c>
      <c r="O138" s="823">
        <f t="shared" ref="O138:O201" si="119">N138/D138*100</f>
        <v>77.446852127565379</v>
      </c>
      <c r="P138" s="839">
        <f>+P140+P139</f>
        <v>1454074</v>
      </c>
      <c r="Q138" s="823">
        <f t="shared" ref="Q138:Q200" si="120">P138/G138*100</f>
        <v>13.307165736249656</v>
      </c>
      <c r="R138" s="2181">
        <f t="shared" si="84"/>
        <v>-1277676</v>
      </c>
      <c r="S138" s="2989"/>
      <c r="T138" s="2111">
        <f t="shared" si="96"/>
        <v>0</v>
      </c>
      <c r="U138" s="2194"/>
    </row>
    <row r="139" spans="1:21" s="262" customFormat="1" ht="12.75" customHeight="1" x14ac:dyDescent="0.2">
      <c r="A139" s="3209"/>
      <c r="B139" s="1989" t="s">
        <v>15</v>
      </c>
      <c r="C139" s="2816"/>
      <c r="D139" s="701">
        <f>+E139+F139+G139+H139</f>
        <v>56150160</v>
      </c>
      <c r="E139" s="699">
        <v>18432309</v>
      </c>
      <c r="F139" s="699">
        <v>18176024</v>
      </c>
      <c r="G139" s="699">
        <v>10927000</v>
      </c>
      <c r="H139" s="1358">
        <v>8614827</v>
      </c>
      <c r="I139" s="701">
        <f>+J139+K139+L139+M139</f>
        <v>56150139.329999998</v>
      </c>
      <c r="J139" s="699">
        <v>18432309</v>
      </c>
      <c r="K139" s="2186">
        <v>18176003.329999998</v>
      </c>
      <c r="L139" s="699">
        <v>10927000</v>
      </c>
      <c r="M139" s="1358">
        <v>8614827</v>
      </c>
      <c r="N139" s="848">
        <f>K139+P139+J139</f>
        <v>38062386.329999998</v>
      </c>
      <c r="O139" s="2187">
        <f t="shared" si="119"/>
        <v>67.786781604896589</v>
      </c>
      <c r="P139" s="699">
        <v>1454074</v>
      </c>
      <c r="Q139" s="2187">
        <f t="shared" si="120"/>
        <v>13.307165736249656</v>
      </c>
      <c r="R139" s="2188">
        <f t="shared" si="84"/>
        <v>-1277676</v>
      </c>
      <c r="S139" s="2989"/>
      <c r="T139" s="2111">
        <f t="shared" si="96"/>
        <v>0</v>
      </c>
      <c r="U139" s="2194"/>
    </row>
    <row r="140" spans="1:21" s="262" customFormat="1" ht="12.75" customHeight="1" thickBot="1" x14ac:dyDescent="0.25">
      <c r="A140" s="3233"/>
      <c r="B140" s="780" t="s">
        <v>9</v>
      </c>
      <c r="C140" s="2818"/>
      <c r="D140" s="722">
        <f>+E140+F140+G140+H140</f>
        <v>24050501</v>
      </c>
      <c r="E140" s="720">
        <f>9132612+14921926-4037</f>
        <v>24050501</v>
      </c>
      <c r="F140" s="720">
        <v>0</v>
      </c>
      <c r="G140" s="719">
        <v>0</v>
      </c>
      <c r="H140" s="761">
        <v>0</v>
      </c>
      <c r="I140" s="722">
        <f>+J140+K140+L140+M140</f>
        <v>24050501</v>
      </c>
      <c r="J140" s="720">
        <f>9132612+14921926-4037</f>
        <v>24050501</v>
      </c>
      <c r="K140" s="1624">
        <v>0</v>
      </c>
      <c r="L140" s="720">
        <v>0</v>
      </c>
      <c r="M140" s="1116">
        <v>0</v>
      </c>
      <c r="N140" s="1359">
        <f>K140+P140+J140</f>
        <v>24050501</v>
      </c>
      <c r="O140" s="723">
        <f t="shared" si="119"/>
        <v>100</v>
      </c>
      <c r="P140" s="719">
        <v>0</v>
      </c>
      <c r="Q140" s="719">
        <v>0</v>
      </c>
      <c r="R140" s="2217">
        <f t="shared" ref="R140:R203" si="121">+P140-L140*0.25</f>
        <v>0</v>
      </c>
      <c r="S140" s="2990"/>
      <c r="T140" s="2111">
        <f t="shared" si="96"/>
        <v>0</v>
      </c>
      <c r="U140" s="2194"/>
    </row>
    <row r="141" spans="1:21" s="2169" customFormat="1" ht="64.5" hidden="1" thickBot="1" x14ac:dyDescent="0.25">
      <c r="A141" s="3222" t="s">
        <v>52</v>
      </c>
      <c r="B141" s="2251" t="s">
        <v>239</v>
      </c>
      <c r="C141" s="2252"/>
      <c r="D141" s="2253"/>
      <c r="E141" s="2254"/>
      <c r="F141" s="2254"/>
      <c r="G141" s="2254"/>
      <c r="H141" s="2255"/>
      <c r="I141" s="2253"/>
      <c r="J141" s="2254"/>
      <c r="K141" s="2254"/>
      <c r="L141" s="2254"/>
      <c r="M141" s="2255"/>
      <c r="N141" s="2256"/>
      <c r="O141" s="2257" t="e">
        <f t="shared" si="119"/>
        <v>#DIV/0!</v>
      </c>
      <c r="P141" s="2258"/>
      <c r="Q141" s="2257" t="e">
        <f t="shared" si="120"/>
        <v>#DIV/0!</v>
      </c>
      <c r="R141" s="2259">
        <f t="shared" si="121"/>
        <v>0</v>
      </c>
      <c r="S141" s="2813" t="s">
        <v>240</v>
      </c>
      <c r="T141" s="2111">
        <f t="shared" si="96"/>
        <v>0</v>
      </c>
    </row>
    <row r="142" spans="1:21" s="2175" customFormat="1" ht="13.5" hidden="1" customHeight="1" x14ac:dyDescent="0.2">
      <c r="A142" s="3222"/>
      <c r="B142" s="1570" t="s">
        <v>3</v>
      </c>
      <c r="C142" s="2260"/>
      <c r="D142" s="2261">
        <f>+D143+D146</f>
        <v>0</v>
      </c>
      <c r="E142" s="2262">
        <f>+E143+E146</f>
        <v>0</v>
      </c>
      <c r="F142" s="2262">
        <f>+F143+F146</f>
        <v>0</v>
      </c>
      <c r="G142" s="2262">
        <f>+G143+G146</f>
        <v>0</v>
      </c>
      <c r="H142" s="2263">
        <f>H143+H144</f>
        <v>0</v>
      </c>
      <c r="I142" s="2261">
        <f>+I143+I146</f>
        <v>0</v>
      </c>
      <c r="J142" s="2262">
        <f>+J143+J146</f>
        <v>0</v>
      </c>
      <c r="K142" s="2262">
        <f>+K143+K146</f>
        <v>0</v>
      </c>
      <c r="L142" s="2262">
        <f>+L143+L146</f>
        <v>0</v>
      </c>
      <c r="M142" s="2263">
        <f>M143+M144</f>
        <v>0</v>
      </c>
      <c r="N142" s="2261">
        <f>N143</f>
        <v>0</v>
      </c>
      <c r="O142" s="2262" t="e">
        <f t="shared" si="119"/>
        <v>#DIV/0!</v>
      </c>
      <c r="P142" s="2264">
        <f>+P143+P146</f>
        <v>0</v>
      </c>
      <c r="Q142" s="2262" t="e">
        <f t="shared" si="120"/>
        <v>#DIV/0!</v>
      </c>
      <c r="R142" s="2265">
        <f t="shared" si="121"/>
        <v>0</v>
      </c>
      <c r="S142" s="2769"/>
      <c r="T142" s="2111">
        <f t="shared" si="96"/>
        <v>0</v>
      </c>
    </row>
    <row r="143" spans="1:21" s="2175" customFormat="1" ht="13.5" hidden="1" customHeight="1" x14ac:dyDescent="0.2">
      <c r="A143" s="3222"/>
      <c r="B143" s="2266" t="s">
        <v>4</v>
      </c>
      <c r="C143" s="3077" t="s">
        <v>241</v>
      </c>
      <c r="D143" s="2267">
        <f>+D144</f>
        <v>0</v>
      </c>
      <c r="E143" s="1336">
        <f>+E144+E145</f>
        <v>0</v>
      </c>
      <c r="F143" s="1336">
        <f>SUM(F144:F145)</f>
        <v>0</v>
      </c>
      <c r="G143" s="1336">
        <f>SUM(G144:G145)</f>
        <v>0</v>
      </c>
      <c r="H143" s="2268">
        <v>0</v>
      </c>
      <c r="I143" s="2267">
        <f>+I144</f>
        <v>0</v>
      </c>
      <c r="J143" s="1336">
        <f>+J144+J145</f>
        <v>0</v>
      </c>
      <c r="K143" s="1336">
        <f>SUM(K144:K145)</f>
        <v>0</v>
      </c>
      <c r="L143" s="1336">
        <f>SUM(L144:L145)</f>
        <v>0</v>
      </c>
      <c r="M143" s="2268">
        <v>0</v>
      </c>
      <c r="N143" s="2269">
        <f>N144</f>
        <v>0</v>
      </c>
      <c r="O143" s="2270" t="e">
        <f t="shared" si="119"/>
        <v>#DIV/0!</v>
      </c>
      <c r="P143" s="1336">
        <f>SUM(P144:P145)</f>
        <v>0</v>
      </c>
      <c r="Q143" s="2270" t="e">
        <f t="shared" si="120"/>
        <v>#DIV/0!</v>
      </c>
      <c r="R143" s="2271">
        <f t="shared" si="121"/>
        <v>0</v>
      </c>
      <c r="S143" s="2769"/>
      <c r="T143" s="2111">
        <f t="shared" si="96"/>
        <v>0</v>
      </c>
    </row>
    <row r="144" spans="1:21" s="2169" customFormat="1" ht="13.5" hidden="1" customHeight="1" x14ac:dyDescent="0.2">
      <c r="A144" s="3222"/>
      <c r="B144" s="696" t="s">
        <v>5</v>
      </c>
      <c r="C144" s="3229"/>
      <c r="D144" s="2272">
        <f>+E144+F144+G144+H144</f>
        <v>0</v>
      </c>
      <c r="E144" s="1600"/>
      <c r="F144" s="1600"/>
      <c r="G144" s="1600">
        <v>0</v>
      </c>
      <c r="H144" s="1548">
        <v>0</v>
      </c>
      <c r="I144" s="2272">
        <f>+J144+K144+L144+M144</f>
        <v>0</v>
      </c>
      <c r="J144" s="1600"/>
      <c r="K144" s="1600"/>
      <c r="L144" s="1600">
        <v>0</v>
      </c>
      <c r="M144" s="1548">
        <v>0</v>
      </c>
      <c r="N144" s="2272">
        <f>K144+P144</f>
        <v>0</v>
      </c>
      <c r="O144" s="1600" t="e">
        <f t="shared" si="119"/>
        <v>#DIV/0!</v>
      </c>
      <c r="P144" s="1600">
        <v>0</v>
      </c>
      <c r="Q144" s="1600" t="e">
        <f t="shared" si="120"/>
        <v>#DIV/0!</v>
      </c>
      <c r="R144" s="1604">
        <f t="shared" si="121"/>
        <v>0</v>
      </c>
      <c r="S144" s="2769"/>
      <c r="T144" s="2111">
        <f t="shared" si="96"/>
        <v>0</v>
      </c>
      <c r="U144" s="2247"/>
    </row>
    <row r="145" spans="1:21" s="2169" customFormat="1" ht="13.5" hidden="1" customHeight="1" x14ac:dyDescent="0.2">
      <c r="A145" s="3222"/>
      <c r="B145" s="2273" t="s">
        <v>9</v>
      </c>
      <c r="C145" s="3229"/>
      <c r="D145" s="2274"/>
      <c r="E145" s="1600"/>
      <c r="F145" s="1600"/>
      <c r="G145" s="1600"/>
      <c r="H145" s="2275"/>
      <c r="I145" s="2274"/>
      <c r="J145" s="1600"/>
      <c r="K145" s="1600"/>
      <c r="L145" s="1600"/>
      <c r="M145" s="2275"/>
      <c r="N145" s="2274"/>
      <c r="O145" s="2276" t="e">
        <f t="shared" si="119"/>
        <v>#DIV/0!</v>
      </c>
      <c r="P145" s="2276"/>
      <c r="Q145" s="2276" t="e">
        <f t="shared" si="120"/>
        <v>#DIV/0!</v>
      </c>
      <c r="R145" s="1604">
        <f t="shared" si="121"/>
        <v>0</v>
      </c>
      <c r="S145" s="2769"/>
      <c r="T145" s="2111">
        <f t="shared" si="96"/>
        <v>0</v>
      </c>
    </row>
    <row r="146" spans="1:21" s="2169" customFormat="1" ht="13.5" hidden="1" customHeight="1" x14ac:dyDescent="0.2">
      <c r="A146" s="3222"/>
      <c r="B146" s="2277" t="s">
        <v>13</v>
      </c>
      <c r="C146" s="3229"/>
      <c r="D146" s="2278">
        <f>+D147</f>
        <v>0</v>
      </c>
      <c r="E146" s="1336">
        <f>+E147</f>
        <v>0</v>
      </c>
      <c r="F146" s="1336">
        <f>+F147</f>
        <v>0</v>
      </c>
      <c r="G146" s="1336">
        <f>+G147</f>
        <v>0</v>
      </c>
      <c r="H146" s="2279"/>
      <c r="I146" s="2278">
        <f>+I147</f>
        <v>0</v>
      </c>
      <c r="J146" s="1336">
        <f>+J147</f>
        <v>0</v>
      </c>
      <c r="K146" s="1336">
        <f>+K147</f>
        <v>0</v>
      </c>
      <c r="L146" s="1336">
        <f>+L147</f>
        <v>0</v>
      </c>
      <c r="M146" s="2279"/>
      <c r="N146" s="2278"/>
      <c r="O146" s="2280" t="e">
        <f t="shared" si="119"/>
        <v>#DIV/0!</v>
      </c>
      <c r="P146" s="2280"/>
      <c r="Q146" s="2280" t="e">
        <f t="shared" si="120"/>
        <v>#DIV/0!</v>
      </c>
      <c r="R146" s="2271">
        <f t="shared" si="121"/>
        <v>0</v>
      </c>
      <c r="S146" s="2769"/>
      <c r="T146" s="2111">
        <f t="shared" si="96"/>
        <v>0</v>
      </c>
    </row>
    <row r="147" spans="1:21" s="2169" customFormat="1" ht="13.5" hidden="1" customHeight="1" thickBot="1" x14ac:dyDescent="0.25">
      <c r="A147" s="3222"/>
      <c r="B147" s="2281" t="s">
        <v>9</v>
      </c>
      <c r="C147" s="3230"/>
      <c r="D147" s="2282"/>
      <c r="E147" s="1600"/>
      <c r="F147" s="1600"/>
      <c r="G147" s="1600"/>
      <c r="H147" s="2283"/>
      <c r="I147" s="2282"/>
      <c r="J147" s="1600"/>
      <c r="K147" s="1600"/>
      <c r="L147" s="1600"/>
      <c r="M147" s="2283"/>
      <c r="N147" s="2282"/>
      <c r="O147" s="2284" t="e">
        <f t="shared" si="119"/>
        <v>#DIV/0!</v>
      </c>
      <c r="P147" s="2284"/>
      <c r="Q147" s="2284" t="e">
        <f t="shared" si="120"/>
        <v>#DIV/0!</v>
      </c>
      <c r="R147" s="1604">
        <f t="shared" si="121"/>
        <v>0</v>
      </c>
      <c r="S147" s="2769"/>
      <c r="T147" s="2111">
        <f t="shared" si="96"/>
        <v>0</v>
      </c>
    </row>
    <row r="148" spans="1:21" s="2169" customFormat="1" ht="13.5" hidden="1" customHeight="1" x14ac:dyDescent="0.2">
      <c r="A148" s="3234"/>
      <c r="B148" s="879" t="s">
        <v>17</v>
      </c>
      <c r="C148" s="2285"/>
      <c r="D148" s="2261">
        <f>+D149+D153</f>
        <v>0</v>
      </c>
      <c r="E148" s="2262">
        <f>+E149+E153</f>
        <v>0</v>
      </c>
      <c r="F148" s="2262">
        <f>+F149+F153</f>
        <v>0</v>
      </c>
      <c r="G148" s="2262">
        <f>+G149+G153</f>
        <v>0</v>
      </c>
      <c r="H148" s="2263">
        <f>H149+H150</f>
        <v>0</v>
      </c>
      <c r="I148" s="2261">
        <f>+I149+I153</f>
        <v>0</v>
      </c>
      <c r="J148" s="2262">
        <f>+J149+J153</f>
        <v>0</v>
      </c>
      <c r="K148" s="2262">
        <f>+K149+K153</f>
        <v>0</v>
      </c>
      <c r="L148" s="2262">
        <f>+L149+L153</f>
        <v>0</v>
      </c>
      <c r="M148" s="2263">
        <f>M149+M150</f>
        <v>0</v>
      </c>
      <c r="N148" s="2261">
        <f>N149</f>
        <v>0</v>
      </c>
      <c r="O148" s="2262" t="e">
        <f t="shared" si="119"/>
        <v>#DIV/0!</v>
      </c>
      <c r="P148" s="2262">
        <f>P149</f>
        <v>0</v>
      </c>
      <c r="Q148" s="2262" t="e">
        <f t="shared" si="120"/>
        <v>#DIV/0!</v>
      </c>
      <c r="R148" s="2265">
        <f t="shared" si="121"/>
        <v>0</v>
      </c>
      <c r="S148" s="2769"/>
      <c r="T148" s="2111">
        <f t="shared" si="96"/>
        <v>0</v>
      </c>
      <c r="U148" s="2194"/>
    </row>
    <row r="149" spans="1:21" s="262" customFormat="1" ht="12.75" hidden="1" customHeight="1" x14ac:dyDescent="0.2">
      <c r="A149" s="3234"/>
      <c r="B149" s="1383" t="s">
        <v>4</v>
      </c>
      <c r="C149" s="3077" t="s">
        <v>241</v>
      </c>
      <c r="D149" s="2267">
        <f>+D151</f>
        <v>0</v>
      </c>
      <c r="E149" s="1336">
        <f>+E150+E151</f>
        <v>0</v>
      </c>
      <c r="F149" s="1336">
        <f>+F150+F151</f>
        <v>0</v>
      </c>
      <c r="G149" s="1336">
        <f>+G150+G151</f>
        <v>0</v>
      </c>
      <c r="H149" s="2286">
        <v>0</v>
      </c>
      <c r="I149" s="2267">
        <f>+I151</f>
        <v>0</v>
      </c>
      <c r="J149" s="1336">
        <f>+J150+J151</f>
        <v>0</v>
      </c>
      <c r="K149" s="1336">
        <f>+K150+K151</f>
        <v>0</v>
      </c>
      <c r="L149" s="1336">
        <f>+L150+L151</f>
        <v>0</v>
      </c>
      <c r="M149" s="2286">
        <v>0</v>
      </c>
      <c r="N149" s="2267">
        <f>N151</f>
        <v>0</v>
      </c>
      <c r="O149" s="1336" t="e">
        <f t="shared" si="119"/>
        <v>#DIV/0!</v>
      </c>
      <c r="P149" s="2270">
        <f>P151</f>
        <v>0</v>
      </c>
      <c r="Q149" s="1336" t="e">
        <f t="shared" si="120"/>
        <v>#DIV/0!</v>
      </c>
      <c r="R149" s="2271">
        <f t="shared" si="121"/>
        <v>0</v>
      </c>
      <c r="S149" s="2769"/>
      <c r="T149" s="2111">
        <f t="shared" si="96"/>
        <v>0</v>
      </c>
      <c r="U149" s="2194"/>
    </row>
    <row r="150" spans="1:21" s="262" customFormat="1" ht="11.25" hidden="1" customHeight="1" x14ac:dyDescent="0.2">
      <c r="A150" s="3234"/>
      <c r="B150" s="2182" t="s">
        <v>9</v>
      </c>
      <c r="C150" s="3225"/>
      <c r="D150" s="2202">
        <f>+E150+F150+G150+H150</f>
        <v>0</v>
      </c>
      <c r="E150" s="2287"/>
      <c r="F150" s="2287"/>
      <c r="G150" s="2287"/>
      <c r="H150" s="2288"/>
      <c r="I150" s="2202">
        <f>+J150+K150+L150+M150</f>
        <v>0</v>
      </c>
      <c r="J150" s="2287"/>
      <c r="K150" s="2287"/>
      <c r="L150" s="2287"/>
      <c r="M150" s="2288"/>
      <c r="N150" s="2202"/>
      <c r="O150" s="2287" t="e">
        <f t="shared" si="119"/>
        <v>#DIV/0!</v>
      </c>
      <c r="P150" s="1600"/>
      <c r="Q150" s="2287" t="e">
        <f t="shared" si="120"/>
        <v>#DIV/0!</v>
      </c>
      <c r="R150" s="2289">
        <f t="shared" si="121"/>
        <v>0</v>
      </c>
      <c r="S150" s="2769"/>
      <c r="T150" s="2111">
        <f t="shared" si="96"/>
        <v>0</v>
      </c>
      <c r="U150" s="2194"/>
    </row>
    <row r="151" spans="1:21" s="262" customFormat="1" ht="14.25" hidden="1" customHeight="1" thickBot="1" x14ac:dyDescent="0.25">
      <c r="A151" s="3235"/>
      <c r="B151" s="780" t="s">
        <v>5</v>
      </c>
      <c r="C151" s="3236"/>
      <c r="D151" s="2290">
        <f>+E151+F151+G151+H151</f>
        <v>0</v>
      </c>
      <c r="E151" s="1624"/>
      <c r="F151" s="1624"/>
      <c r="G151" s="1624">
        <v>0</v>
      </c>
      <c r="H151" s="2291">
        <v>0</v>
      </c>
      <c r="I151" s="2290">
        <f>+J151+K151+L151+M151</f>
        <v>0</v>
      </c>
      <c r="J151" s="1624"/>
      <c r="K151" s="1624"/>
      <c r="L151" s="1624">
        <v>0</v>
      </c>
      <c r="M151" s="2291">
        <v>0</v>
      </c>
      <c r="N151" s="2290">
        <f>K151+P151</f>
        <v>0</v>
      </c>
      <c r="O151" s="1624" t="e">
        <f t="shared" si="119"/>
        <v>#DIV/0!</v>
      </c>
      <c r="P151" s="1624">
        <v>0</v>
      </c>
      <c r="Q151" s="1624" t="e">
        <f t="shared" si="120"/>
        <v>#DIV/0!</v>
      </c>
      <c r="R151" s="1630">
        <f t="shared" si="121"/>
        <v>0</v>
      </c>
      <c r="S151" s="2770"/>
      <c r="T151" s="2111">
        <f t="shared" si="96"/>
        <v>0</v>
      </c>
      <c r="U151" s="2194"/>
    </row>
    <row r="152" spans="1:21" s="262" customFormat="1" ht="12.75" hidden="1" customHeight="1" x14ac:dyDescent="0.2">
      <c r="A152" s="2292"/>
      <c r="B152" s="2293" t="s">
        <v>13</v>
      </c>
      <c r="C152" s="2294"/>
      <c r="D152" s="2295"/>
      <c r="E152" s="2296"/>
      <c r="F152" s="2296"/>
      <c r="G152" s="2296"/>
      <c r="H152" s="2297"/>
      <c r="I152" s="2295"/>
      <c r="J152" s="2296"/>
      <c r="K152" s="2296"/>
      <c r="L152" s="2296"/>
      <c r="M152" s="2297"/>
      <c r="N152" s="2295"/>
      <c r="O152" s="2298" t="e">
        <f t="shared" si="119"/>
        <v>#DIV/0!</v>
      </c>
      <c r="P152" s="2299"/>
      <c r="Q152" s="2298" t="e">
        <f t="shared" si="120"/>
        <v>#DIV/0!</v>
      </c>
      <c r="R152" s="2300">
        <f t="shared" si="121"/>
        <v>0</v>
      </c>
      <c r="S152" s="2301"/>
      <c r="T152" s="2111">
        <f t="shared" si="96"/>
        <v>0</v>
      </c>
      <c r="U152" s="2194"/>
    </row>
    <row r="153" spans="1:21" s="262" customFormat="1" ht="14.25" hidden="1" customHeight="1" x14ac:dyDescent="0.2">
      <c r="A153" s="2302"/>
      <c r="B153" s="2303" t="s">
        <v>9</v>
      </c>
      <c r="C153" s="2304"/>
      <c r="D153" s="2305"/>
      <c r="E153" s="2306"/>
      <c r="F153" s="2306"/>
      <c r="G153" s="2306"/>
      <c r="H153" s="2307"/>
      <c r="I153" s="2305"/>
      <c r="J153" s="2306"/>
      <c r="K153" s="2306"/>
      <c r="L153" s="2306"/>
      <c r="M153" s="2307"/>
      <c r="N153" s="2308"/>
      <c r="O153" s="2309" t="e">
        <f t="shared" si="119"/>
        <v>#DIV/0!</v>
      </c>
      <c r="P153" s="2310"/>
      <c r="Q153" s="2309" t="e">
        <f t="shared" si="120"/>
        <v>#DIV/0!</v>
      </c>
      <c r="R153" s="2311">
        <f t="shared" si="121"/>
        <v>0</v>
      </c>
      <c r="S153" s="2312"/>
      <c r="T153" s="2111">
        <f t="shared" si="96"/>
        <v>0</v>
      </c>
      <c r="U153" s="2194"/>
    </row>
    <row r="154" spans="1:21" s="262" customFormat="1" ht="15" hidden="1" customHeight="1" thickBot="1" x14ac:dyDescent="0.25">
      <c r="A154" s="2313"/>
      <c r="B154" s="2314" t="s">
        <v>14</v>
      </c>
      <c r="C154" s="2315"/>
      <c r="D154" s="2316"/>
      <c r="E154" s="2317"/>
      <c r="F154" s="2317"/>
      <c r="G154" s="2317"/>
      <c r="H154" s="2318"/>
      <c r="I154" s="2316"/>
      <c r="J154" s="2317"/>
      <c r="K154" s="2317"/>
      <c r="L154" s="2317"/>
      <c r="M154" s="2318"/>
      <c r="N154" s="2319"/>
      <c r="O154" s="2320" t="e">
        <f t="shared" si="119"/>
        <v>#DIV/0!</v>
      </c>
      <c r="P154" s="2321"/>
      <c r="Q154" s="2320" t="e">
        <f t="shared" si="120"/>
        <v>#DIV/0!</v>
      </c>
      <c r="R154" s="2322">
        <f t="shared" si="121"/>
        <v>0</v>
      </c>
      <c r="S154" s="2323"/>
      <c r="T154" s="2111">
        <f t="shared" si="96"/>
        <v>0</v>
      </c>
      <c r="U154" s="2194"/>
    </row>
    <row r="155" spans="1:21" ht="51.75" hidden="1" thickBot="1" x14ac:dyDescent="0.25">
      <c r="A155" s="3232" t="s">
        <v>40</v>
      </c>
      <c r="B155" s="2324" t="s">
        <v>242</v>
      </c>
      <c r="C155" s="2325"/>
      <c r="D155" s="2326"/>
      <c r="E155" s="2327"/>
      <c r="F155" s="2327"/>
      <c r="G155" s="2327"/>
      <c r="H155" s="2328"/>
      <c r="I155" s="2326"/>
      <c r="J155" s="2327"/>
      <c r="K155" s="2327"/>
      <c r="L155" s="2327"/>
      <c r="M155" s="2328"/>
      <c r="N155" s="2329"/>
      <c r="O155" s="2330" t="e">
        <f t="shared" si="119"/>
        <v>#DIV/0!</v>
      </c>
      <c r="P155" s="2331"/>
      <c r="Q155" s="2330" t="e">
        <f t="shared" si="120"/>
        <v>#DIV/0!</v>
      </c>
      <c r="R155" s="2332">
        <f t="shared" si="121"/>
        <v>0</v>
      </c>
      <c r="S155" s="2814" t="s">
        <v>243</v>
      </c>
      <c r="T155" s="2111">
        <f t="shared" si="96"/>
        <v>0</v>
      </c>
    </row>
    <row r="156" spans="1:21" ht="12.95" hidden="1" customHeight="1" x14ac:dyDescent="0.2">
      <c r="A156" s="3209"/>
      <c r="B156" s="322" t="s">
        <v>3</v>
      </c>
      <c r="C156" s="2333"/>
      <c r="D156" s="2334">
        <f>+D158</f>
        <v>0</v>
      </c>
      <c r="E156" s="2335"/>
      <c r="F156" s="2335"/>
      <c r="G156" s="2335"/>
      <c r="H156" s="2336"/>
      <c r="I156" s="2334">
        <f>+I158</f>
        <v>0</v>
      </c>
      <c r="J156" s="2335"/>
      <c r="K156" s="2335"/>
      <c r="L156" s="2335"/>
      <c r="M156" s="2336"/>
      <c r="N156" s="2337"/>
      <c r="O156" s="2338" t="e">
        <f t="shared" si="119"/>
        <v>#DIV/0!</v>
      </c>
      <c r="P156" s="2339"/>
      <c r="Q156" s="2338" t="e">
        <f t="shared" si="120"/>
        <v>#DIV/0!</v>
      </c>
      <c r="R156" s="2340">
        <f t="shared" si="121"/>
        <v>0</v>
      </c>
      <c r="S156" s="2989"/>
      <c r="T156" s="2111">
        <f t="shared" si="96"/>
        <v>0</v>
      </c>
    </row>
    <row r="157" spans="1:21" ht="14.25" hidden="1" customHeight="1" x14ac:dyDescent="0.2">
      <c r="A157" s="3209"/>
      <c r="B157" s="2341" t="s">
        <v>4</v>
      </c>
      <c r="C157" s="3225" t="s">
        <v>244</v>
      </c>
      <c r="D157" s="2342">
        <f t="shared" ref="D157:I157" si="122">+D158</f>
        <v>0</v>
      </c>
      <c r="E157" s="2343"/>
      <c r="F157" s="2343"/>
      <c r="G157" s="2343"/>
      <c r="H157" s="2344"/>
      <c r="I157" s="2342">
        <f t="shared" si="122"/>
        <v>0</v>
      </c>
      <c r="J157" s="2343"/>
      <c r="K157" s="2343"/>
      <c r="L157" s="2343"/>
      <c r="M157" s="2344"/>
      <c r="N157" s="2342"/>
      <c r="O157" s="2345" t="e">
        <f t="shared" si="119"/>
        <v>#DIV/0!</v>
      </c>
      <c r="P157" s="2343"/>
      <c r="Q157" s="2345" t="e">
        <f t="shared" si="120"/>
        <v>#DIV/0!</v>
      </c>
      <c r="R157" s="2346">
        <f t="shared" si="121"/>
        <v>0</v>
      </c>
      <c r="S157" s="2989"/>
      <c r="T157" s="2111">
        <f t="shared" si="96"/>
        <v>0</v>
      </c>
    </row>
    <row r="158" spans="1:21" ht="12.95" hidden="1" customHeight="1" x14ac:dyDescent="0.2">
      <c r="A158" s="3209"/>
      <c r="B158" s="2303" t="s">
        <v>105</v>
      </c>
      <c r="C158" s="3229"/>
      <c r="D158" s="2305">
        <v>0</v>
      </c>
      <c r="E158" s="2306"/>
      <c r="F158" s="2306"/>
      <c r="G158" s="2306"/>
      <c r="H158" s="2307"/>
      <c r="I158" s="2305">
        <v>0</v>
      </c>
      <c r="J158" s="2306"/>
      <c r="K158" s="2306"/>
      <c r="L158" s="2306"/>
      <c r="M158" s="2307"/>
      <c r="N158" s="2308"/>
      <c r="O158" s="2309" t="e">
        <f t="shared" si="119"/>
        <v>#DIV/0!</v>
      </c>
      <c r="P158" s="2310"/>
      <c r="Q158" s="2309" t="e">
        <f t="shared" si="120"/>
        <v>#DIV/0!</v>
      </c>
      <c r="R158" s="2311">
        <f t="shared" si="121"/>
        <v>0</v>
      </c>
      <c r="S158" s="2989"/>
      <c r="T158" s="2111">
        <f t="shared" si="96"/>
        <v>0</v>
      </c>
    </row>
    <row r="159" spans="1:21" ht="12.95" hidden="1" customHeight="1" x14ac:dyDescent="0.2">
      <c r="A159" s="3209"/>
      <c r="B159" s="322" t="s">
        <v>17</v>
      </c>
      <c r="C159" s="2333"/>
      <c r="D159" s="2334">
        <f t="shared" ref="D159:I160" si="123">+D160</f>
        <v>0</v>
      </c>
      <c r="E159" s="2335"/>
      <c r="F159" s="2335"/>
      <c r="G159" s="2335"/>
      <c r="H159" s="2336"/>
      <c r="I159" s="2334">
        <f t="shared" si="123"/>
        <v>0</v>
      </c>
      <c r="J159" s="2335"/>
      <c r="K159" s="2335"/>
      <c r="L159" s="2335"/>
      <c r="M159" s="2336"/>
      <c r="N159" s="2337"/>
      <c r="O159" s="2338" t="e">
        <f t="shared" si="119"/>
        <v>#DIV/0!</v>
      </c>
      <c r="P159" s="2339"/>
      <c r="Q159" s="2338" t="e">
        <f t="shared" si="120"/>
        <v>#DIV/0!</v>
      </c>
      <c r="R159" s="2340">
        <f t="shared" si="121"/>
        <v>0</v>
      </c>
      <c r="S159" s="2989"/>
      <c r="T159" s="2111">
        <f t="shared" si="96"/>
        <v>0</v>
      </c>
    </row>
    <row r="160" spans="1:21" ht="12.95" hidden="1" customHeight="1" x14ac:dyDescent="0.2">
      <c r="A160" s="3209"/>
      <c r="B160" s="2341" t="s">
        <v>4</v>
      </c>
      <c r="C160" s="3225" t="s">
        <v>244</v>
      </c>
      <c r="D160" s="2342">
        <f t="shared" si="123"/>
        <v>0</v>
      </c>
      <c r="E160" s="2343"/>
      <c r="F160" s="2343"/>
      <c r="G160" s="2343"/>
      <c r="H160" s="2344"/>
      <c r="I160" s="2342">
        <f t="shared" si="123"/>
        <v>0</v>
      </c>
      <c r="J160" s="2343"/>
      <c r="K160" s="2343"/>
      <c r="L160" s="2343"/>
      <c r="M160" s="2344"/>
      <c r="N160" s="2342"/>
      <c r="O160" s="2345" t="e">
        <f t="shared" si="119"/>
        <v>#DIV/0!</v>
      </c>
      <c r="P160" s="2343"/>
      <c r="Q160" s="2345" t="e">
        <f t="shared" si="120"/>
        <v>#DIV/0!</v>
      </c>
      <c r="R160" s="2346">
        <f t="shared" si="121"/>
        <v>0</v>
      </c>
      <c r="S160" s="2989"/>
      <c r="T160" s="2111">
        <f t="shared" si="96"/>
        <v>0</v>
      </c>
    </row>
    <row r="161" spans="1:20" ht="12.95" hidden="1" customHeight="1" thickBot="1" x14ac:dyDescent="0.25">
      <c r="A161" s="2347"/>
      <c r="B161" s="2281" t="s">
        <v>105</v>
      </c>
      <c r="C161" s="3230"/>
      <c r="D161" s="2316">
        <v>0</v>
      </c>
      <c r="E161" s="2317"/>
      <c r="F161" s="2317"/>
      <c r="G161" s="2317"/>
      <c r="H161" s="2318"/>
      <c r="I161" s="2316">
        <v>0</v>
      </c>
      <c r="J161" s="2317"/>
      <c r="K161" s="2317"/>
      <c r="L161" s="2317"/>
      <c r="M161" s="2318"/>
      <c r="N161" s="2319"/>
      <c r="O161" s="2320" t="e">
        <f t="shared" si="119"/>
        <v>#DIV/0!</v>
      </c>
      <c r="P161" s="2321"/>
      <c r="Q161" s="2320" t="e">
        <f t="shared" si="120"/>
        <v>#DIV/0!</v>
      </c>
      <c r="R161" s="2322">
        <f t="shared" si="121"/>
        <v>0</v>
      </c>
      <c r="S161" s="3237"/>
      <c r="T161" s="2111">
        <f t="shared" si="96"/>
        <v>0</v>
      </c>
    </row>
    <row r="162" spans="1:20" ht="67.5" hidden="1" customHeight="1" x14ac:dyDescent="0.2">
      <c r="A162" s="3238" t="s">
        <v>40</v>
      </c>
      <c r="B162" s="2348" t="s">
        <v>245</v>
      </c>
      <c r="C162" s="2349"/>
      <c r="D162" s="2350"/>
      <c r="E162" s="2351"/>
      <c r="F162" s="2351"/>
      <c r="G162" s="2351"/>
      <c r="H162" s="2352"/>
      <c r="I162" s="2350"/>
      <c r="J162" s="2351"/>
      <c r="K162" s="2351"/>
      <c r="L162" s="2351"/>
      <c r="M162" s="2352"/>
      <c r="N162" s="2353"/>
      <c r="O162" s="2354" t="e">
        <f t="shared" si="119"/>
        <v>#DIV/0!</v>
      </c>
      <c r="P162" s="2355"/>
      <c r="Q162" s="2354" t="e">
        <f t="shared" si="120"/>
        <v>#DIV/0!</v>
      </c>
      <c r="R162" s="2356">
        <f t="shared" si="121"/>
        <v>0</v>
      </c>
      <c r="S162" s="2988" t="s">
        <v>246</v>
      </c>
      <c r="T162" s="2111">
        <f t="shared" si="96"/>
        <v>0</v>
      </c>
    </row>
    <row r="163" spans="1:20" ht="12.95" hidden="1" customHeight="1" x14ac:dyDescent="0.2">
      <c r="A163" s="3234"/>
      <c r="B163" s="565" t="s">
        <v>3</v>
      </c>
      <c r="C163" s="2357"/>
      <c r="D163" s="2358"/>
      <c r="E163" s="2359"/>
      <c r="F163" s="2359"/>
      <c r="G163" s="2359"/>
      <c r="H163" s="2360"/>
      <c r="I163" s="2358"/>
      <c r="J163" s="2359"/>
      <c r="K163" s="2359"/>
      <c r="L163" s="2359"/>
      <c r="M163" s="2360"/>
      <c r="N163" s="2361"/>
      <c r="O163" s="2359" t="e">
        <f t="shared" si="119"/>
        <v>#DIV/0!</v>
      </c>
      <c r="P163" s="2359"/>
      <c r="Q163" s="2359" t="e">
        <f t="shared" si="120"/>
        <v>#DIV/0!</v>
      </c>
      <c r="R163" s="2362">
        <f t="shared" si="121"/>
        <v>0</v>
      </c>
      <c r="S163" s="2989"/>
      <c r="T163" s="2111">
        <f t="shared" si="96"/>
        <v>0</v>
      </c>
    </row>
    <row r="164" spans="1:20" ht="12.95" hidden="1" customHeight="1" x14ac:dyDescent="0.2">
      <c r="A164" s="3234"/>
      <c r="B164" s="1383" t="s">
        <v>4</v>
      </c>
      <c r="C164" s="3077" t="s">
        <v>231</v>
      </c>
      <c r="D164" s="2363">
        <v>0</v>
      </c>
      <c r="E164" s="853">
        <v>0</v>
      </c>
      <c r="F164" s="853">
        <v>0</v>
      </c>
      <c r="G164" s="853">
        <v>0</v>
      </c>
      <c r="H164" s="854">
        <v>0</v>
      </c>
      <c r="I164" s="2363">
        <v>0</v>
      </c>
      <c r="J164" s="853">
        <v>0</v>
      </c>
      <c r="K164" s="853">
        <v>0</v>
      </c>
      <c r="L164" s="853">
        <v>0</v>
      </c>
      <c r="M164" s="854">
        <v>0</v>
      </c>
      <c r="N164" s="2363">
        <v>0</v>
      </c>
      <c r="O164" s="866" t="e">
        <f t="shared" si="119"/>
        <v>#DIV/0!</v>
      </c>
      <c r="P164" s="2220">
        <v>0</v>
      </c>
      <c r="Q164" s="866" t="e">
        <f t="shared" si="120"/>
        <v>#DIV/0!</v>
      </c>
      <c r="R164" s="2364">
        <f t="shared" si="121"/>
        <v>0</v>
      </c>
      <c r="S164" s="2989"/>
      <c r="T164" s="2111">
        <f t="shared" si="96"/>
        <v>0</v>
      </c>
    </row>
    <row r="165" spans="1:20" ht="12.95" hidden="1" customHeight="1" x14ac:dyDescent="0.2">
      <c r="A165" s="3234"/>
      <c r="B165" s="2182" t="s">
        <v>5</v>
      </c>
      <c r="C165" s="3055"/>
      <c r="D165" s="2272"/>
      <c r="E165" s="1600"/>
      <c r="F165" s="1600"/>
      <c r="G165" s="1600"/>
      <c r="H165" s="1548"/>
      <c r="I165" s="2272"/>
      <c r="J165" s="1600"/>
      <c r="K165" s="1600"/>
      <c r="L165" s="1600"/>
      <c r="M165" s="1548"/>
      <c r="N165" s="2202"/>
      <c r="O165" s="2365" t="e">
        <f t="shared" si="119"/>
        <v>#DIV/0!</v>
      </c>
      <c r="P165" s="2366"/>
      <c r="Q165" s="2365" t="e">
        <f t="shared" si="120"/>
        <v>#DIV/0!</v>
      </c>
      <c r="R165" s="1604">
        <f t="shared" si="121"/>
        <v>0</v>
      </c>
      <c r="S165" s="2989"/>
      <c r="T165" s="2111">
        <f t="shared" si="96"/>
        <v>0</v>
      </c>
    </row>
    <row r="166" spans="1:20" ht="12.95" hidden="1" customHeight="1" x14ac:dyDescent="0.2">
      <c r="A166" s="3234"/>
      <c r="B166" s="2185" t="s">
        <v>8</v>
      </c>
      <c r="C166" s="3055"/>
      <c r="D166" s="2272">
        <v>0</v>
      </c>
      <c r="E166" s="1600">
        <v>0</v>
      </c>
      <c r="F166" s="1600">
        <v>0</v>
      </c>
      <c r="G166" s="1600">
        <v>0</v>
      </c>
      <c r="H166" s="1548">
        <v>0</v>
      </c>
      <c r="I166" s="2272">
        <v>0</v>
      </c>
      <c r="J166" s="1600">
        <v>0</v>
      </c>
      <c r="K166" s="1600">
        <v>0</v>
      </c>
      <c r="L166" s="1600">
        <v>0</v>
      </c>
      <c r="M166" s="1548">
        <v>0</v>
      </c>
      <c r="N166" s="2367">
        <v>0</v>
      </c>
      <c r="O166" s="2287" t="e">
        <f t="shared" si="119"/>
        <v>#DIV/0!</v>
      </c>
      <c r="P166" s="1600">
        <v>0</v>
      </c>
      <c r="Q166" s="2287" t="e">
        <f t="shared" si="120"/>
        <v>#DIV/0!</v>
      </c>
      <c r="R166" s="1604">
        <f t="shared" si="121"/>
        <v>0</v>
      </c>
      <c r="S166" s="2989"/>
      <c r="T166" s="2111">
        <f t="shared" si="96"/>
        <v>0</v>
      </c>
    </row>
    <row r="167" spans="1:20" ht="12.95" hidden="1" customHeight="1" x14ac:dyDescent="0.2">
      <c r="A167" s="3234"/>
      <c r="B167" s="2225" t="s">
        <v>13</v>
      </c>
      <c r="C167" s="3055"/>
      <c r="D167" s="2363">
        <v>0</v>
      </c>
      <c r="E167" s="853">
        <v>0</v>
      </c>
      <c r="F167" s="853">
        <v>0</v>
      </c>
      <c r="G167" s="853">
        <v>0</v>
      </c>
      <c r="H167" s="854">
        <v>0</v>
      </c>
      <c r="I167" s="2363">
        <v>0</v>
      </c>
      <c r="J167" s="853">
        <v>0</v>
      </c>
      <c r="K167" s="853">
        <v>0</v>
      </c>
      <c r="L167" s="853">
        <v>0</v>
      </c>
      <c r="M167" s="854">
        <v>0</v>
      </c>
      <c r="N167" s="2363">
        <v>0</v>
      </c>
      <c r="O167" s="2368" t="e">
        <f t="shared" si="119"/>
        <v>#DIV/0!</v>
      </c>
      <c r="P167" s="2220">
        <v>0</v>
      </c>
      <c r="Q167" s="2368" t="e">
        <f t="shared" si="120"/>
        <v>#DIV/0!</v>
      </c>
      <c r="R167" s="2364">
        <f t="shared" si="121"/>
        <v>0</v>
      </c>
      <c r="S167" s="2989"/>
      <c r="T167" s="2111">
        <f t="shared" si="96"/>
        <v>0</v>
      </c>
    </row>
    <row r="168" spans="1:20" ht="12.95" hidden="1" customHeight="1" x14ac:dyDescent="0.2">
      <c r="A168" s="3234"/>
      <c r="B168" s="696" t="s">
        <v>15</v>
      </c>
      <c r="C168" s="2817"/>
      <c r="D168" s="2272">
        <v>0</v>
      </c>
      <c r="E168" s="1600">
        <v>0</v>
      </c>
      <c r="F168" s="1600">
        <v>0</v>
      </c>
      <c r="G168" s="1600">
        <v>0</v>
      </c>
      <c r="H168" s="1548">
        <v>0</v>
      </c>
      <c r="I168" s="2272">
        <v>0</v>
      </c>
      <c r="J168" s="1600">
        <v>0</v>
      </c>
      <c r="K168" s="1600">
        <v>0</v>
      </c>
      <c r="L168" s="1600">
        <v>0</v>
      </c>
      <c r="M168" s="1548">
        <v>0</v>
      </c>
      <c r="N168" s="2202">
        <v>0</v>
      </c>
      <c r="O168" s="2366" t="e">
        <f t="shared" si="119"/>
        <v>#DIV/0!</v>
      </c>
      <c r="P168" s="1600">
        <v>0</v>
      </c>
      <c r="Q168" s="2366" t="e">
        <f t="shared" si="120"/>
        <v>#DIV/0!</v>
      </c>
      <c r="R168" s="1604">
        <f t="shared" si="121"/>
        <v>0</v>
      </c>
      <c r="S168" s="2989"/>
      <c r="T168" s="2111">
        <f t="shared" si="96"/>
        <v>0</v>
      </c>
    </row>
    <row r="169" spans="1:20" ht="12.95" hidden="1" customHeight="1" x14ac:dyDescent="0.2">
      <c r="A169" s="3234"/>
      <c r="B169" s="565" t="s">
        <v>17</v>
      </c>
      <c r="C169" s="2285"/>
      <c r="D169" s="2358">
        <v>0</v>
      </c>
      <c r="E169" s="2359">
        <v>0</v>
      </c>
      <c r="F169" s="2359">
        <v>0</v>
      </c>
      <c r="G169" s="2359">
        <v>0</v>
      </c>
      <c r="H169" s="2360">
        <v>0</v>
      </c>
      <c r="I169" s="2358">
        <v>0</v>
      </c>
      <c r="J169" s="2359">
        <v>0</v>
      </c>
      <c r="K169" s="2359">
        <v>0</v>
      </c>
      <c r="L169" s="2359">
        <v>0</v>
      </c>
      <c r="M169" s="2360">
        <v>0</v>
      </c>
      <c r="N169" s="2369">
        <v>0</v>
      </c>
      <c r="O169" s="2359" t="e">
        <f t="shared" si="119"/>
        <v>#DIV/0!</v>
      </c>
      <c r="P169" s="2370">
        <v>0</v>
      </c>
      <c r="Q169" s="2359" t="e">
        <f t="shared" si="120"/>
        <v>#DIV/0!</v>
      </c>
      <c r="R169" s="2362">
        <f t="shared" si="121"/>
        <v>0</v>
      </c>
      <c r="S169" s="2989"/>
      <c r="T169" s="2111">
        <f t="shared" ref="T169:T217" si="124">J169+K169+P169-N169</f>
        <v>0</v>
      </c>
    </row>
    <row r="170" spans="1:20" ht="12.95" hidden="1" customHeight="1" x14ac:dyDescent="0.2">
      <c r="A170" s="3234"/>
      <c r="B170" s="1383" t="s">
        <v>4</v>
      </c>
      <c r="C170" s="3214" t="s">
        <v>231</v>
      </c>
      <c r="D170" s="2363">
        <v>0</v>
      </c>
      <c r="E170" s="853">
        <v>0</v>
      </c>
      <c r="F170" s="853">
        <v>0</v>
      </c>
      <c r="G170" s="853">
        <v>0</v>
      </c>
      <c r="H170" s="854">
        <v>0</v>
      </c>
      <c r="I170" s="2363">
        <v>0</v>
      </c>
      <c r="J170" s="853">
        <v>0</v>
      </c>
      <c r="K170" s="853">
        <v>0</v>
      </c>
      <c r="L170" s="853">
        <v>0</v>
      </c>
      <c r="M170" s="854">
        <v>0</v>
      </c>
      <c r="N170" s="2363">
        <v>0</v>
      </c>
      <c r="O170" s="853" t="e">
        <f t="shared" si="119"/>
        <v>#DIV/0!</v>
      </c>
      <c r="P170" s="853">
        <v>0</v>
      </c>
      <c r="Q170" s="853" t="e">
        <f t="shared" si="120"/>
        <v>#DIV/0!</v>
      </c>
      <c r="R170" s="2364">
        <f t="shared" si="121"/>
        <v>0</v>
      </c>
      <c r="S170" s="2989"/>
      <c r="T170" s="2111">
        <f t="shared" si="124"/>
        <v>0</v>
      </c>
    </row>
    <row r="171" spans="1:20" ht="12.95" hidden="1" customHeight="1" x14ac:dyDescent="0.2">
      <c r="A171" s="3234"/>
      <c r="B171" s="2200" t="s">
        <v>8</v>
      </c>
      <c r="C171" s="3215"/>
      <c r="D171" s="2272">
        <v>0</v>
      </c>
      <c r="E171" s="1600">
        <v>0</v>
      </c>
      <c r="F171" s="1600">
        <v>0</v>
      </c>
      <c r="G171" s="1600">
        <v>0</v>
      </c>
      <c r="H171" s="1548">
        <v>0</v>
      </c>
      <c r="I171" s="2272">
        <v>0</v>
      </c>
      <c r="J171" s="1600">
        <v>0</v>
      </c>
      <c r="K171" s="1600">
        <v>0</v>
      </c>
      <c r="L171" s="1600">
        <v>0</v>
      </c>
      <c r="M171" s="1548">
        <v>0</v>
      </c>
      <c r="N171" s="2202">
        <v>0</v>
      </c>
      <c r="O171" s="2365" t="e">
        <f t="shared" si="119"/>
        <v>#DIV/0!</v>
      </c>
      <c r="P171" s="1600">
        <v>0</v>
      </c>
      <c r="Q171" s="2365" t="e">
        <f t="shared" si="120"/>
        <v>#DIV/0!</v>
      </c>
      <c r="R171" s="1604">
        <f t="shared" si="121"/>
        <v>0</v>
      </c>
      <c r="S171" s="2989"/>
      <c r="T171" s="2111">
        <f t="shared" si="124"/>
        <v>0</v>
      </c>
    </row>
    <row r="172" spans="1:20" ht="11.25" hidden="1" customHeight="1" x14ac:dyDescent="0.2">
      <c r="A172" s="3234"/>
      <c r="B172" s="982" t="s">
        <v>223</v>
      </c>
      <c r="C172" s="3215"/>
      <c r="D172" s="2272"/>
      <c r="E172" s="1600"/>
      <c r="F172" s="1600"/>
      <c r="G172" s="1600"/>
      <c r="H172" s="1548"/>
      <c r="I172" s="2272"/>
      <c r="J172" s="1600"/>
      <c r="K172" s="1600"/>
      <c r="L172" s="1600"/>
      <c r="M172" s="1548"/>
      <c r="N172" s="2367"/>
      <c r="O172" s="2287" t="e">
        <f t="shared" si="119"/>
        <v>#DIV/0!</v>
      </c>
      <c r="P172" s="1600"/>
      <c r="Q172" s="2287" t="e">
        <f t="shared" si="120"/>
        <v>#DIV/0!</v>
      </c>
      <c r="R172" s="1604">
        <f t="shared" si="121"/>
        <v>0</v>
      </c>
      <c r="S172" s="2989"/>
      <c r="T172" s="2111">
        <f t="shared" si="124"/>
        <v>0</v>
      </c>
    </row>
    <row r="173" spans="1:20" ht="12.95" hidden="1" customHeight="1" x14ac:dyDescent="0.2">
      <c r="A173" s="3234"/>
      <c r="B173" s="2225" t="s">
        <v>13</v>
      </c>
      <c r="C173" s="3215"/>
      <c r="D173" s="2363">
        <v>0</v>
      </c>
      <c r="E173" s="853">
        <v>0</v>
      </c>
      <c r="F173" s="853">
        <v>0</v>
      </c>
      <c r="G173" s="853">
        <v>0</v>
      </c>
      <c r="H173" s="854">
        <v>0</v>
      </c>
      <c r="I173" s="2363">
        <v>0</v>
      </c>
      <c r="J173" s="853">
        <v>0</v>
      </c>
      <c r="K173" s="853">
        <v>0</v>
      </c>
      <c r="L173" s="853">
        <v>0</v>
      </c>
      <c r="M173" s="854">
        <v>0</v>
      </c>
      <c r="N173" s="2363">
        <v>0</v>
      </c>
      <c r="O173" s="853" t="e">
        <f t="shared" si="119"/>
        <v>#DIV/0!</v>
      </c>
      <c r="P173" s="853">
        <v>0</v>
      </c>
      <c r="Q173" s="853" t="e">
        <f t="shared" si="120"/>
        <v>#DIV/0!</v>
      </c>
      <c r="R173" s="2364">
        <f t="shared" si="121"/>
        <v>0</v>
      </c>
      <c r="S173" s="2989"/>
      <c r="T173" s="2111">
        <f t="shared" si="124"/>
        <v>0</v>
      </c>
    </row>
    <row r="174" spans="1:20" ht="12" hidden="1" customHeight="1" x14ac:dyDescent="0.2">
      <c r="A174" s="3234"/>
      <c r="B174" s="2200" t="s">
        <v>15</v>
      </c>
      <c r="C174" s="3215"/>
      <c r="D174" s="2272">
        <v>0</v>
      </c>
      <c r="E174" s="1600">
        <v>0</v>
      </c>
      <c r="F174" s="1600">
        <v>0</v>
      </c>
      <c r="G174" s="1600">
        <v>0</v>
      </c>
      <c r="H174" s="1548">
        <v>0</v>
      </c>
      <c r="I174" s="2272">
        <v>0</v>
      </c>
      <c r="J174" s="1600">
        <v>0</v>
      </c>
      <c r="K174" s="1600">
        <v>0</v>
      </c>
      <c r="L174" s="1600">
        <v>0</v>
      </c>
      <c r="M174" s="1548">
        <v>0</v>
      </c>
      <c r="N174" s="2202">
        <v>0</v>
      </c>
      <c r="O174" s="1600" t="e">
        <f t="shared" si="119"/>
        <v>#DIV/0!</v>
      </c>
      <c r="P174" s="2287">
        <v>0</v>
      </c>
      <c r="Q174" s="1600" t="e">
        <f t="shared" si="120"/>
        <v>#DIV/0!</v>
      </c>
      <c r="R174" s="1604">
        <f t="shared" si="121"/>
        <v>0</v>
      </c>
      <c r="S174" s="2989"/>
      <c r="T174" s="2111">
        <f t="shared" si="124"/>
        <v>0</v>
      </c>
    </row>
    <row r="175" spans="1:20" ht="12.95" hidden="1" customHeight="1" thickBot="1" x14ac:dyDescent="0.25">
      <c r="A175" s="3235"/>
      <c r="B175" s="2197" t="s">
        <v>14</v>
      </c>
      <c r="C175" s="3239"/>
      <c r="D175" s="1623"/>
      <c r="E175" s="1381"/>
      <c r="F175" s="1381"/>
      <c r="G175" s="1381"/>
      <c r="H175" s="1384"/>
      <c r="I175" s="1623"/>
      <c r="J175" s="1381"/>
      <c r="K175" s="1381"/>
      <c r="L175" s="1381"/>
      <c r="M175" s="1384"/>
      <c r="N175" s="722"/>
      <c r="O175" s="723" t="e">
        <f t="shared" si="119"/>
        <v>#DIV/0!</v>
      </c>
      <c r="P175" s="2198"/>
      <c r="Q175" s="723" t="e">
        <f t="shared" si="120"/>
        <v>#DIV/0!</v>
      </c>
      <c r="R175" s="2371">
        <f t="shared" si="121"/>
        <v>0</v>
      </c>
      <c r="S175" s="2990"/>
      <c r="T175" s="2111">
        <f t="shared" si="124"/>
        <v>0</v>
      </c>
    </row>
    <row r="176" spans="1:20" ht="33.75" hidden="1" customHeight="1" x14ac:dyDescent="0.2">
      <c r="A176" s="3232" t="s">
        <v>48</v>
      </c>
      <c r="B176" s="2324" t="s">
        <v>247</v>
      </c>
      <c r="C176" s="2325"/>
      <c r="D176" s="2326"/>
      <c r="E176" s="2327"/>
      <c r="F176" s="2327"/>
      <c r="G176" s="2327"/>
      <c r="H176" s="2328"/>
      <c r="I176" s="2326"/>
      <c r="J176" s="2327"/>
      <c r="K176" s="2327"/>
      <c r="L176" s="2327"/>
      <c r="M176" s="2328"/>
      <c r="N176" s="2329"/>
      <c r="O176" s="2330" t="e">
        <f t="shared" si="119"/>
        <v>#DIV/0!</v>
      </c>
      <c r="P176" s="2331"/>
      <c r="Q176" s="2330" t="e">
        <f t="shared" si="120"/>
        <v>#DIV/0!</v>
      </c>
      <c r="R176" s="2332">
        <f t="shared" si="121"/>
        <v>0</v>
      </c>
      <c r="S176" s="2814" t="s">
        <v>248</v>
      </c>
      <c r="T176" s="2111">
        <f t="shared" si="124"/>
        <v>0</v>
      </c>
    </row>
    <row r="177" spans="1:21" ht="12.95" hidden="1" customHeight="1" x14ac:dyDescent="0.2">
      <c r="A177" s="3209"/>
      <c r="B177" s="322" t="s">
        <v>3</v>
      </c>
      <c r="C177" s="2372"/>
      <c r="D177" s="2373"/>
      <c r="E177" s="2374"/>
      <c r="F177" s="2374"/>
      <c r="G177" s="2374"/>
      <c r="H177" s="2375"/>
      <c r="I177" s="2373"/>
      <c r="J177" s="2374"/>
      <c r="K177" s="2374"/>
      <c r="L177" s="2374"/>
      <c r="M177" s="2375"/>
      <c r="N177" s="2373"/>
      <c r="O177" s="2376" t="e">
        <f t="shared" si="119"/>
        <v>#DIV/0!</v>
      </c>
      <c r="P177" s="2374"/>
      <c r="Q177" s="2376" t="e">
        <f t="shared" si="120"/>
        <v>#DIV/0!</v>
      </c>
      <c r="R177" s="2377">
        <f t="shared" si="121"/>
        <v>0</v>
      </c>
      <c r="S177" s="2989"/>
      <c r="T177" s="2111">
        <f t="shared" si="124"/>
        <v>0</v>
      </c>
    </row>
    <row r="178" spans="1:21" ht="12.95" hidden="1" customHeight="1" x14ac:dyDescent="0.2">
      <c r="A178" s="3209"/>
      <c r="B178" s="2341" t="s">
        <v>4</v>
      </c>
      <c r="C178" s="3225" t="s">
        <v>227</v>
      </c>
      <c r="D178" s="2342"/>
      <c r="E178" s="2343"/>
      <c r="F178" s="2343"/>
      <c r="G178" s="2343"/>
      <c r="H178" s="2344"/>
      <c r="I178" s="2342"/>
      <c r="J178" s="2343"/>
      <c r="K178" s="2343"/>
      <c r="L178" s="2343"/>
      <c r="M178" s="2344"/>
      <c r="N178" s="2342"/>
      <c r="O178" s="2345" t="e">
        <f t="shared" si="119"/>
        <v>#DIV/0!</v>
      </c>
      <c r="P178" s="2343"/>
      <c r="Q178" s="2345" t="e">
        <f t="shared" si="120"/>
        <v>#DIV/0!</v>
      </c>
      <c r="R178" s="2346">
        <f t="shared" si="121"/>
        <v>0</v>
      </c>
      <c r="S178" s="2989"/>
      <c r="T178" s="2111">
        <f t="shared" si="124"/>
        <v>0</v>
      </c>
    </row>
    <row r="179" spans="1:21" ht="12.95" hidden="1" customHeight="1" x14ac:dyDescent="0.2">
      <c r="A179" s="3209"/>
      <c r="B179" s="2303" t="s">
        <v>9</v>
      </c>
      <c r="C179" s="3055"/>
      <c r="D179" s="2305"/>
      <c r="E179" s="2306"/>
      <c r="F179" s="2306"/>
      <c r="G179" s="2306"/>
      <c r="H179" s="2307"/>
      <c r="I179" s="2305"/>
      <c r="J179" s="2306"/>
      <c r="K179" s="2306"/>
      <c r="L179" s="2306"/>
      <c r="M179" s="2307"/>
      <c r="N179" s="2308"/>
      <c r="O179" s="2309" t="e">
        <f t="shared" si="119"/>
        <v>#DIV/0!</v>
      </c>
      <c r="P179" s="2310"/>
      <c r="Q179" s="2309" t="e">
        <f t="shared" si="120"/>
        <v>#DIV/0!</v>
      </c>
      <c r="R179" s="2311">
        <f t="shared" si="121"/>
        <v>0</v>
      </c>
      <c r="S179" s="2989"/>
      <c r="T179" s="2111">
        <f t="shared" si="124"/>
        <v>0</v>
      </c>
    </row>
    <row r="180" spans="1:21" ht="12.95" hidden="1" customHeight="1" x14ac:dyDescent="0.2">
      <c r="A180" s="3209"/>
      <c r="B180" s="2378" t="s">
        <v>13</v>
      </c>
      <c r="C180" s="3055"/>
      <c r="D180" s="2342"/>
      <c r="E180" s="2343"/>
      <c r="F180" s="2343"/>
      <c r="G180" s="2343"/>
      <c r="H180" s="2344"/>
      <c r="I180" s="2342"/>
      <c r="J180" s="2343"/>
      <c r="K180" s="2343"/>
      <c r="L180" s="2343"/>
      <c r="M180" s="2344"/>
      <c r="N180" s="2342"/>
      <c r="O180" s="2345" t="e">
        <f t="shared" si="119"/>
        <v>#DIV/0!</v>
      </c>
      <c r="P180" s="2343"/>
      <c r="Q180" s="2345" t="e">
        <f t="shared" si="120"/>
        <v>#DIV/0!</v>
      </c>
      <c r="R180" s="2346">
        <f t="shared" si="121"/>
        <v>0</v>
      </c>
      <c r="S180" s="2989"/>
      <c r="T180" s="2111">
        <f t="shared" si="124"/>
        <v>0</v>
      </c>
    </row>
    <row r="181" spans="1:21" ht="12.95" hidden="1" customHeight="1" x14ac:dyDescent="0.2">
      <c r="A181" s="3209"/>
      <c r="B181" s="2303" t="s">
        <v>9</v>
      </c>
      <c r="C181" s="3055"/>
      <c r="D181" s="2305"/>
      <c r="E181" s="2306"/>
      <c r="F181" s="2306"/>
      <c r="G181" s="2306"/>
      <c r="H181" s="2307"/>
      <c r="I181" s="2305"/>
      <c r="J181" s="2306"/>
      <c r="K181" s="2306"/>
      <c r="L181" s="2306"/>
      <c r="M181" s="2307"/>
      <c r="N181" s="2308"/>
      <c r="O181" s="2309" t="e">
        <f t="shared" si="119"/>
        <v>#DIV/0!</v>
      </c>
      <c r="P181" s="2310"/>
      <c r="Q181" s="2309" t="e">
        <f t="shared" si="120"/>
        <v>#DIV/0!</v>
      </c>
      <c r="R181" s="2311">
        <f t="shared" si="121"/>
        <v>0</v>
      </c>
      <c r="S181" s="2989"/>
      <c r="T181" s="2111">
        <f t="shared" si="124"/>
        <v>0</v>
      </c>
    </row>
    <row r="182" spans="1:21" ht="12.95" hidden="1" customHeight="1" x14ac:dyDescent="0.2">
      <c r="A182" s="3209"/>
      <c r="B182" s="322" t="s">
        <v>17</v>
      </c>
      <c r="C182" s="2372"/>
      <c r="D182" s="2373"/>
      <c r="E182" s="2374"/>
      <c r="F182" s="2374"/>
      <c r="G182" s="2374"/>
      <c r="H182" s="2375"/>
      <c r="I182" s="2373"/>
      <c r="J182" s="2374"/>
      <c r="K182" s="2374"/>
      <c r="L182" s="2374"/>
      <c r="M182" s="2375"/>
      <c r="N182" s="2373"/>
      <c r="O182" s="2376" t="e">
        <f t="shared" si="119"/>
        <v>#DIV/0!</v>
      </c>
      <c r="P182" s="2374"/>
      <c r="Q182" s="2376" t="e">
        <f t="shared" si="120"/>
        <v>#DIV/0!</v>
      </c>
      <c r="R182" s="2377">
        <f t="shared" si="121"/>
        <v>0</v>
      </c>
      <c r="S182" s="2989"/>
      <c r="T182" s="2111">
        <f t="shared" si="124"/>
        <v>0</v>
      </c>
    </row>
    <row r="183" spans="1:21" ht="12.95" hidden="1" customHeight="1" x14ac:dyDescent="0.2">
      <c r="A183" s="3209"/>
      <c r="B183" s="2341" t="s">
        <v>4</v>
      </c>
      <c r="C183" s="3225" t="s">
        <v>227</v>
      </c>
      <c r="D183" s="2342"/>
      <c r="E183" s="2343"/>
      <c r="F183" s="2343"/>
      <c r="G183" s="2343"/>
      <c r="H183" s="2344"/>
      <c r="I183" s="2342"/>
      <c r="J183" s="2343"/>
      <c r="K183" s="2343"/>
      <c r="L183" s="2343"/>
      <c r="M183" s="2344"/>
      <c r="N183" s="2342"/>
      <c r="O183" s="2345" t="e">
        <f t="shared" si="119"/>
        <v>#DIV/0!</v>
      </c>
      <c r="P183" s="2343"/>
      <c r="Q183" s="2345" t="e">
        <f t="shared" si="120"/>
        <v>#DIV/0!</v>
      </c>
      <c r="R183" s="2346">
        <f t="shared" si="121"/>
        <v>0</v>
      </c>
      <c r="S183" s="2989"/>
      <c r="T183" s="2111">
        <f t="shared" si="124"/>
        <v>0</v>
      </c>
    </row>
    <row r="184" spans="1:21" ht="12.95" hidden="1" customHeight="1" x14ac:dyDescent="0.2">
      <c r="A184" s="3209"/>
      <c r="B184" s="2303" t="s">
        <v>9</v>
      </c>
      <c r="C184" s="3055"/>
      <c r="D184" s="2305"/>
      <c r="E184" s="2306"/>
      <c r="F184" s="2306"/>
      <c r="G184" s="2306"/>
      <c r="H184" s="2307"/>
      <c r="I184" s="2305"/>
      <c r="J184" s="2306"/>
      <c r="K184" s="2306"/>
      <c r="L184" s="2306"/>
      <c r="M184" s="2307"/>
      <c r="N184" s="2308"/>
      <c r="O184" s="2309" t="e">
        <f t="shared" si="119"/>
        <v>#DIV/0!</v>
      </c>
      <c r="P184" s="2310"/>
      <c r="Q184" s="2309" t="e">
        <f t="shared" si="120"/>
        <v>#DIV/0!</v>
      </c>
      <c r="R184" s="2311">
        <f t="shared" si="121"/>
        <v>0</v>
      </c>
      <c r="S184" s="2989"/>
      <c r="T184" s="2111">
        <f t="shared" si="124"/>
        <v>0</v>
      </c>
    </row>
    <row r="185" spans="1:21" ht="12.95" hidden="1" customHeight="1" x14ac:dyDescent="0.2">
      <c r="A185" s="3209"/>
      <c r="B185" s="2378" t="s">
        <v>13</v>
      </c>
      <c r="C185" s="3055"/>
      <c r="D185" s="2342"/>
      <c r="E185" s="2343"/>
      <c r="F185" s="2343"/>
      <c r="G185" s="2343"/>
      <c r="H185" s="2344"/>
      <c r="I185" s="2342"/>
      <c r="J185" s="2343"/>
      <c r="K185" s="2343"/>
      <c r="L185" s="2343"/>
      <c r="M185" s="2344"/>
      <c r="N185" s="2342"/>
      <c r="O185" s="2345" t="e">
        <f t="shared" si="119"/>
        <v>#DIV/0!</v>
      </c>
      <c r="P185" s="2343"/>
      <c r="Q185" s="2345" t="e">
        <f t="shared" si="120"/>
        <v>#DIV/0!</v>
      </c>
      <c r="R185" s="2346">
        <f t="shared" si="121"/>
        <v>0</v>
      </c>
      <c r="S185" s="2989"/>
      <c r="T185" s="2111">
        <f t="shared" si="124"/>
        <v>0</v>
      </c>
    </row>
    <row r="186" spans="1:21" ht="12.95" hidden="1" customHeight="1" thickBot="1" x14ac:dyDescent="0.25">
      <c r="A186" s="3240"/>
      <c r="B186" s="2281" t="s">
        <v>9</v>
      </c>
      <c r="C186" s="2817"/>
      <c r="D186" s="2379"/>
      <c r="E186" s="2380"/>
      <c r="F186" s="2380"/>
      <c r="G186" s="2380"/>
      <c r="H186" s="2381"/>
      <c r="I186" s="2379"/>
      <c r="J186" s="2380"/>
      <c r="K186" s="2380"/>
      <c r="L186" s="2380"/>
      <c r="M186" s="2381"/>
      <c r="N186" s="2382"/>
      <c r="O186" s="2383" t="e">
        <f t="shared" si="119"/>
        <v>#DIV/0!</v>
      </c>
      <c r="P186" s="2384"/>
      <c r="Q186" s="2383" t="e">
        <f t="shared" si="120"/>
        <v>#DIV/0!</v>
      </c>
      <c r="R186" s="2385">
        <f t="shared" si="121"/>
        <v>0</v>
      </c>
      <c r="S186" s="3237"/>
      <c r="T186" s="2111">
        <f t="shared" si="124"/>
        <v>0</v>
      </c>
    </row>
    <row r="187" spans="1:21" ht="26.25" customHeight="1" x14ac:dyDescent="0.2">
      <c r="A187" s="3221" t="s">
        <v>56</v>
      </c>
      <c r="B187" s="2240" t="s">
        <v>249</v>
      </c>
      <c r="C187" s="2241" t="s">
        <v>233</v>
      </c>
      <c r="D187" s="2162"/>
      <c r="E187" s="2163"/>
      <c r="F187" s="2163"/>
      <c r="G187" s="2163"/>
      <c r="H187" s="2164"/>
      <c r="I187" s="2162"/>
      <c r="J187" s="2163"/>
      <c r="K187" s="2163"/>
      <c r="L187" s="2163"/>
      <c r="M187" s="2164"/>
      <c r="N187" s="2242"/>
      <c r="O187" s="2243"/>
      <c r="P187" s="2244"/>
      <c r="Q187" s="2243"/>
      <c r="R187" s="2168"/>
      <c r="S187" s="2988" t="s">
        <v>250</v>
      </c>
      <c r="T187" s="2111">
        <f t="shared" si="124"/>
        <v>0</v>
      </c>
    </row>
    <row r="188" spans="1:21" ht="12.95" customHeight="1" x14ac:dyDescent="0.2">
      <c r="A188" s="3221"/>
      <c r="B188" s="787" t="s">
        <v>3</v>
      </c>
      <c r="C188" s="2245"/>
      <c r="D188" s="711">
        <f t="shared" ref="D188:H188" si="125">+D189+D192</f>
        <v>37144544</v>
      </c>
      <c r="E188" s="686">
        <f t="shared" si="125"/>
        <v>14976363</v>
      </c>
      <c r="F188" s="686">
        <f t="shared" si="125"/>
        <v>5257953</v>
      </c>
      <c r="G188" s="686">
        <f t="shared" si="125"/>
        <v>7940228</v>
      </c>
      <c r="H188" s="2172">
        <f t="shared" si="125"/>
        <v>8970000</v>
      </c>
      <c r="I188" s="711">
        <f t="shared" ref="I188:N188" si="126">+I189+I192</f>
        <v>36970583.640000001</v>
      </c>
      <c r="J188" s="686">
        <f t="shared" si="126"/>
        <v>14976363</v>
      </c>
      <c r="K188" s="2139">
        <f>+K189+K192</f>
        <v>5083992.6399999997</v>
      </c>
      <c r="L188" s="686">
        <f t="shared" si="126"/>
        <v>7940228</v>
      </c>
      <c r="M188" s="2172">
        <f t="shared" si="126"/>
        <v>8970000</v>
      </c>
      <c r="N188" s="2173">
        <f t="shared" si="126"/>
        <v>21179928.640000001</v>
      </c>
      <c r="O188" s="712">
        <f t="shared" si="119"/>
        <v>57.020295201362551</v>
      </c>
      <c r="P188" s="686">
        <f>+P189+P192</f>
        <v>1119573</v>
      </c>
      <c r="Q188" s="712">
        <f t="shared" si="120"/>
        <v>14.100010730170467</v>
      </c>
      <c r="R188" s="2174">
        <f t="shared" si="121"/>
        <v>-865484</v>
      </c>
      <c r="S188" s="2989"/>
      <c r="T188" s="2111">
        <f t="shared" si="124"/>
        <v>0</v>
      </c>
      <c r="U188" s="2083">
        <f>N188-N195</f>
        <v>-1005550.3599999994</v>
      </c>
    </row>
    <row r="189" spans="1:21" ht="12.95" customHeight="1" x14ac:dyDescent="0.2">
      <c r="A189" s="3221"/>
      <c r="B189" s="2176" t="s">
        <v>4</v>
      </c>
      <c r="C189" s="3241" t="s">
        <v>251</v>
      </c>
      <c r="D189" s="837">
        <f t="shared" ref="D189:H189" si="127">+D190+D191</f>
        <v>10211826</v>
      </c>
      <c r="E189" s="839">
        <f t="shared" si="127"/>
        <v>3956165</v>
      </c>
      <c r="F189" s="839">
        <f t="shared" si="127"/>
        <v>1390433</v>
      </c>
      <c r="G189" s="839">
        <f t="shared" si="127"/>
        <v>2270228</v>
      </c>
      <c r="H189" s="2178">
        <f t="shared" si="127"/>
        <v>2595000</v>
      </c>
      <c r="I189" s="837">
        <f t="shared" ref="I189:N189" si="128">+I190+I191</f>
        <v>10152173.09</v>
      </c>
      <c r="J189" s="839">
        <f t="shared" si="128"/>
        <v>3956165</v>
      </c>
      <c r="K189" s="2195">
        <f>SUM(K190:K191)</f>
        <v>1330780.0900000001</v>
      </c>
      <c r="L189" s="839">
        <f t="shared" si="128"/>
        <v>2270228</v>
      </c>
      <c r="M189" s="2178">
        <f t="shared" si="128"/>
        <v>2595000</v>
      </c>
      <c r="N189" s="2179">
        <f t="shared" si="128"/>
        <v>5574635.0899999999</v>
      </c>
      <c r="O189" s="2180">
        <f t="shared" si="119"/>
        <v>54.589992916056339</v>
      </c>
      <c r="P189" s="839">
        <f>SUM(P190:P191)</f>
        <v>287690</v>
      </c>
      <c r="Q189" s="2180">
        <f t="shared" si="120"/>
        <v>12.67229546988232</v>
      </c>
      <c r="R189" s="2181">
        <f t="shared" si="121"/>
        <v>-279867</v>
      </c>
      <c r="S189" s="2989"/>
      <c r="T189" s="2111">
        <f t="shared" si="124"/>
        <v>0</v>
      </c>
    </row>
    <row r="190" spans="1:21" ht="12.95" customHeight="1" x14ac:dyDescent="0.2">
      <c r="A190" s="3221"/>
      <c r="B190" s="696" t="s">
        <v>5</v>
      </c>
      <c r="C190" s="2816"/>
      <c r="D190" s="701">
        <f>+E190+F190+G190+H190</f>
        <v>2488357</v>
      </c>
      <c r="E190" s="699">
        <f>1303666+77484+155719</f>
        <v>1536869</v>
      </c>
      <c r="F190" s="699">
        <v>101260</v>
      </c>
      <c r="G190" s="699">
        <v>380228</v>
      </c>
      <c r="H190" s="1358">
        <f>290000+180000</f>
        <v>470000</v>
      </c>
      <c r="I190" s="701">
        <f>+J190+K190+L190+M190</f>
        <v>2466822.1100000003</v>
      </c>
      <c r="J190" s="699">
        <f>1303666+77484+155719</f>
        <v>1536869</v>
      </c>
      <c r="K190" s="2186">
        <v>79725.11</v>
      </c>
      <c r="L190" s="699">
        <v>380228</v>
      </c>
      <c r="M190" s="1358">
        <f>290000+180000</f>
        <v>470000</v>
      </c>
      <c r="N190" s="848">
        <f>+J190+K190+P190</f>
        <v>1626988.11</v>
      </c>
      <c r="O190" s="2187">
        <f t="shared" si="119"/>
        <v>65.38403090874823</v>
      </c>
      <c r="P190" s="699">
        <v>10394</v>
      </c>
      <c r="Q190" s="2187">
        <f t="shared" si="120"/>
        <v>2.7336229841042741</v>
      </c>
      <c r="R190" s="2188">
        <f t="shared" si="121"/>
        <v>-84663</v>
      </c>
      <c r="S190" s="2989"/>
      <c r="T190" s="2111">
        <f t="shared" si="124"/>
        <v>0</v>
      </c>
    </row>
    <row r="191" spans="1:21" ht="12.95" customHeight="1" x14ac:dyDescent="0.2">
      <c r="A191" s="3221"/>
      <c r="B191" s="696" t="s">
        <v>9</v>
      </c>
      <c r="C191" s="2816"/>
      <c r="D191" s="701">
        <f>+E191+F191+G191+H191</f>
        <v>7723469</v>
      </c>
      <c r="E191" s="699">
        <f>610857+809032+999407</f>
        <v>2419296</v>
      </c>
      <c r="F191" s="699">
        <v>1289173</v>
      </c>
      <c r="G191" s="699">
        <v>1890000</v>
      </c>
      <c r="H191" s="1358">
        <f>1375000+750000</f>
        <v>2125000</v>
      </c>
      <c r="I191" s="701">
        <f>+J191+K191+L191+M191</f>
        <v>7685350.9800000004</v>
      </c>
      <c r="J191" s="699">
        <f>610857+809032+999407</f>
        <v>2419296</v>
      </c>
      <c r="K191" s="2186">
        <f>1251082.98-28</f>
        <v>1251054.98</v>
      </c>
      <c r="L191" s="699">
        <v>1890000</v>
      </c>
      <c r="M191" s="1358">
        <f>1375000+750000</f>
        <v>2125000</v>
      </c>
      <c r="N191" s="848">
        <f>+J191+K191+P191</f>
        <v>3947646.98</v>
      </c>
      <c r="O191" s="702">
        <f t="shared" si="119"/>
        <v>51.112356118733693</v>
      </c>
      <c r="P191" s="699">
        <v>277296</v>
      </c>
      <c r="Q191" s="702">
        <f t="shared" si="120"/>
        <v>14.671746031746032</v>
      </c>
      <c r="R191" s="2188">
        <f t="shared" si="121"/>
        <v>-195204</v>
      </c>
      <c r="S191" s="2989"/>
      <c r="T191" s="2111">
        <f t="shared" si="124"/>
        <v>0</v>
      </c>
    </row>
    <row r="192" spans="1:21" ht="12.95" customHeight="1" x14ac:dyDescent="0.2">
      <c r="A192" s="3221"/>
      <c r="B192" s="2176" t="s">
        <v>13</v>
      </c>
      <c r="C192" s="2816"/>
      <c r="D192" s="837">
        <f t="shared" ref="D192:H192" si="129">+D194+D193</f>
        <v>26932718</v>
      </c>
      <c r="E192" s="839">
        <f t="shared" si="129"/>
        <v>11020198</v>
      </c>
      <c r="F192" s="839">
        <f t="shared" si="129"/>
        <v>3867520</v>
      </c>
      <c r="G192" s="839">
        <f t="shared" si="129"/>
        <v>5670000</v>
      </c>
      <c r="H192" s="2178">
        <f t="shared" si="129"/>
        <v>6375000</v>
      </c>
      <c r="I192" s="837">
        <f t="shared" ref="I192:N192" si="130">+I194+I193</f>
        <v>26818410.550000001</v>
      </c>
      <c r="J192" s="839">
        <f t="shared" si="130"/>
        <v>11020198</v>
      </c>
      <c r="K192" s="821">
        <f>+K194</f>
        <v>3753212.55</v>
      </c>
      <c r="L192" s="839">
        <f t="shared" si="130"/>
        <v>5670000</v>
      </c>
      <c r="M192" s="2178">
        <f t="shared" si="130"/>
        <v>6375000</v>
      </c>
      <c r="N192" s="2179">
        <f t="shared" si="130"/>
        <v>15605293.550000001</v>
      </c>
      <c r="O192" s="2180">
        <f t="shared" si="119"/>
        <v>57.941770117668781</v>
      </c>
      <c r="P192" s="839">
        <f>+P194</f>
        <v>831883</v>
      </c>
      <c r="Q192" s="2180">
        <f t="shared" si="120"/>
        <v>14.671657848324514</v>
      </c>
      <c r="R192" s="2181">
        <f t="shared" si="121"/>
        <v>-585617</v>
      </c>
      <c r="S192" s="2989"/>
      <c r="T192" s="2111">
        <f t="shared" si="124"/>
        <v>0</v>
      </c>
    </row>
    <row r="193" spans="1:20" ht="12.95" customHeight="1" x14ac:dyDescent="0.2">
      <c r="A193" s="3221"/>
      <c r="B193" s="696" t="s">
        <v>5</v>
      </c>
      <c r="C193" s="2816"/>
      <c r="D193" s="701">
        <f>+E193+F193+G193+H193</f>
        <v>4156816</v>
      </c>
      <c r="E193" s="699">
        <v>4156816</v>
      </c>
      <c r="F193" s="699"/>
      <c r="G193" s="698">
        <v>0</v>
      </c>
      <c r="H193" s="700">
        <v>0</v>
      </c>
      <c r="I193" s="701">
        <f>+J193+K193+L193+M193</f>
        <v>4156816</v>
      </c>
      <c r="J193" s="699">
        <v>4156816</v>
      </c>
      <c r="K193" s="1600">
        <v>0</v>
      </c>
      <c r="L193" s="699">
        <v>0</v>
      </c>
      <c r="M193" s="1358">
        <v>0</v>
      </c>
      <c r="N193" s="848">
        <f>+J193</f>
        <v>4156816</v>
      </c>
      <c r="O193" s="2187">
        <f t="shared" si="119"/>
        <v>100</v>
      </c>
      <c r="P193" s="698">
        <v>0</v>
      </c>
      <c r="Q193" s="1352">
        <v>0</v>
      </c>
      <c r="R193" s="2188">
        <f t="shared" si="121"/>
        <v>0</v>
      </c>
      <c r="S193" s="2989"/>
      <c r="T193" s="2111">
        <f t="shared" si="124"/>
        <v>0</v>
      </c>
    </row>
    <row r="194" spans="1:20" ht="12.95" customHeight="1" x14ac:dyDescent="0.2">
      <c r="A194" s="3221"/>
      <c r="B194" s="696" t="s">
        <v>9</v>
      </c>
      <c r="C194" s="2816"/>
      <c r="D194" s="701">
        <f>+E194+F194+G194+H194</f>
        <v>22775902</v>
      </c>
      <c r="E194" s="699">
        <f>1438107+2475598+2998222-48545</f>
        <v>6863382</v>
      </c>
      <c r="F194" s="699">
        <v>3867520</v>
      </c>
      <c r="G194" s="699">
        <v>5670000</v>
      </c>
      <c r="H194" s="1358">
        <f>4125000+2250000</f>
        <v>6375000</v>
      </c>
      <c r="I194" s="701">
        <f>+J194+K194+L194+M194</f>
        <v>22661594.550000001</v>
      </c>
      <c r="J194" s="699">
        <f>1438107+2475598+2998222-48545</f>
        <v>6863382</v>
      </c>
      <c r="K194" s="2186">
        <v>3753212.55</v>
      </c>
      <c r="L194" s="699">
        <v>5670000</v>
      </c>
      <c r="M194" s="1358">
        <f>4125000+2250000</f>
        <v>6375000</v>
      </c>
      <c r="N194" s="848">
        <f>+J194+K194+P194</f>
        <v>11448477.550000001</v>
      </c>
      <c r="O194" s="2187">
        <f t="shared" si="119"/>
        <v>50.265748201761674</v>
      </c>
      <c r="P194" s="699">
        <v>831883</v>
      </c>
      <c r="Q194" s="2187">
        <f t="shared" si="120"/>
        <v>14.671657848324514</v>
      </c>
      <c r="R194" s="2188">
        <f t="shared" si="121"/>
        <v>-585617</v>
      </c>
      <c r="S194" s="2989"/>
      <c r="T194" s="2111">
        <f t="shared" si="124"/>
        <v>0</v>
      </c>
    </row>
    <row r="195" spans="1:20" ht="12" customHeight="1" x14ac:dyDescent="0.2">
      <c r="A195" s="3221"/>
      <c r="B195" s="787" t="s">
        <v>17</v>
      </c>
      <c r="C195" s="2245"/>
      <c r="D195" s="711">
        <f t="shared" ref="D195:H195" si="131">+D196+D199</f>
        <v>35959853</v>
      </c>
      <c r="E195" s="686">
        <f t="shared" si="131"/>
        <v>13623160</v>
      </c>
      <c r="F195" s="686">
        <f t="shared" si="131"/>
        <v>6276693</v>
      </c>
      <c r="G195" s="686">
        <f t="shared" si="131"/>
        <v>7560000</v>
      </c>
      <c r="H195" s="2172">
        <f t="shared" si="131"/>
        <v>8500000</v>
      </c>
      <c r="I195" s="711">
        <f t="shared" ref="I195:N195" si="132">+I196+I199</f>
        <v>36514680</v>
      </c>
      <c r="J195" s="686">
        <f t="shared" si="132"/>
        <v>13623160</v>
      </c>
      <c r="K195" s="2139">
        <f>+K196+K199</f>
        <v>6831520</v>
      </c>
      <c r="L195" s="686">
        <f t="shared" si="132"/>
        <v>7560000</v>
      </c>
      <c r="M195" s="2172">
        <f t="shared" si="132"/>
        <v>8500000</v>
      </c>
      <c r="N195" s="2173">
        <f t="shared" si="132"/>
        <v>22185479</v>
      </c>
      <c r="O195" s="712">
        <f t="shared" si="119"/>
        <v>61.695132624707895</v>
      </c>
      <c r="P195" s="686">
        <f>+P196+P199</f>
        <v>1730799</v>
      </c>
      <c r="Q195" s="712">
        <f t="shared" si="120"/>
        <v>22.894166666666667</v>
      </c>
      <c r="R195" s="2174">
        <f t="shared" si="121"/>
        <v>-159201</v>
      </c>
      <c r="S195" s="2989"/>
      <c r="T195" s="2111">
        <f t="shared" si="124"/>
        <v>0</v>
      </c>
    </row>
    <row r="196" spans="1:20" ht="12.95" customHeight="1" x14ac:dyDescent="0.2">
      <c r="A196" s="3221"/>
      <c r="B196" s="2176" t="s">
        <v>4</v>
      </c>
      <c r="C196" s="3228" t="s">
        <v>251</v>
      </c>
      <c r="D196" s="837">
        <f t="shared" ref="D196:H196" si="133">+D197+D198</f>
        <v>9027135</v>
      </c>
      <c r="E196" s="839">
        <f t="shared" si="133"/>
        <v>3442962</v>
      </c>
      <c r="F196" s="839">
        <f t="shared" si="133"/>
        <v>1569173</v>
      </c>
      <c r="G196" s="839">
        <f t="shared" si="133"/>
        <v>1890000</v>
      </c>
      <c r="H196" s="2178">
        <f t="shared" si="133"/>
        <v>2125000</v>
      </c>
      <c r="I196" s="837">
        <f t="shared" ref="I196:N196" si="134">+I197+I198</f>
        <v>9165831</v>
      </c>
      <c r="J196" s="839">
        <f t="shared" si="134"/>
        <v>3442962</v>
      </c>
      <c r="K196" s="731">
        <f>+K197+K198</f>
        <v>1707869</v>
      </c>
      <c r="L196" s="839">
        <f t="shared" si="134"/>
        <v>1890000</v>
      </c>
      <c r="M196" s="2178">
        <f t="shared" si="134"/>
        <v>2125000</v>
      </c>
      <c r="N196" s="2179">
        <f t="shared" si="134"/>
        <v>5583531</v>
      </c>
      <c r="O196" s="2180">
        <f t="shared" si="119"/>
        <v>61.852747300223164</v>
      </c>
      <c r="P196" s="839">
        <f>+P197+P198</f>
        <v>432700</v>
      </c>
      <c r="Q196" s="2180">
        <f t="shared" si="120"/>
        <v>22.894179894179896</v>
      </c>
      <c r="R196" s="2181">
        <f t="shared" si="121"/>
        <v>-39800</v>
      </c>
      <c r="S196" s="2989"/>
      <c r="T196" s="2111">
        <f t="shared" si="124"/>
        <v>0</v>
      </c>
    </row>
    <row r="197" spans="1:20" ht="12.95" customHeight="1" x14ac:dyDescent="0.2">
      <c r="A197" s="3221"/>
      <c r="B197" s="696" t="s">
        <v>9</v>
      </c>
      <c r="C197" s="2816"/>
      <c r="D197" s="701">
        <f>+E197+F197+G197+H197</f>
        <v>7723469</v>
      </c>
      <c r="E197" s="699">
        <f>610857+809032+999407</f>
        <v>2419296</v>
      </c>
      <c r="F197" s="699">
        <v>1289173</v>
      </c>
      <c r="G197" s="699">
        <v>1890000</v>
      </c>
      <c r="H197" s="1358">
        <f>1375000+750000</f>
        <v>2125000</v>
      </c>
      <c r="I197" s="701">
        <f>+J197+K197+L197+M197</f>
        <v>7685352</v>
      </c>
      <c r="J197" s="699">
        <f>610857+809032+999407</f>
        <v>2419296</v>
      </c>
      <c r="K197" s="2386">
        <v>1251056</v>
      </c>
      <c r="L197" s="699">
        <v>1890000</v>
      </c>
      <c r="M197" s="1358">
        <f>1375000+750000</f>
        <v>2125000</v>
      </c>
      <c r="N197" s="848">
        <f>+J197+K197+P197</f>
        <v>4070352</v>
      </c>
      <c r="O197" s="2187">
        <f t="shared" si="119"/>
        <v>52.701085483737941</v>
      </c>
      <c r="P197" s="699">
        <v>400000</v>
      </c>
      <c r="Q197" s="2187">
        <f t="shared" si="120"/>
        <v>21.164021164021165</v>
      </c>
      <c r="R197" s="2188">
        <f t="shared" si="121"/>
        <v>-72500</v>
      </c>
      <c r="S197" s="2989"/>
      <c r="T197" s="2111">
        <f t="shared" si="124"/>
        <v>0</v>
      </c>
    </row>
    <row r="198" spans="1:20" ht="12.95" customHeight="1" x14ac:dyDescent="0.2">
      <c r="A198" s="3221"/>
      <c r="B198" s="696" t="s">
        <v>223</v>
      </c>
      <c r="C198" s="2816"/>
      <c r="D198" s="701">
        <f>+E198+F198+G198+H198</f>
        <v>1303666</v>
      </c>
      <c r="E198" s="699">
        <f>450810+3058+569798</f>
        <v>1023666</v>
      </c>
      <c r="F198" s="699">
        <v>280000</v>
      </c>
      <c r="G198" s="698">
        <v>0</v>
      </c>
      <c r="H198" s="700">
        <v>0</v>
      </c>
      <c r="I198" s="701">
        <f>+J198+K198+L198+M198</f>
        <v>1480479</v>
      </c>
      <c r="J198" s="699">
        <f>450810+3058+569798</f>
        <v>1023666</v>
      </c>
      <c r="K198" s="2386">
        <v>456813</v>
      </c>
      <c r="L198" s="699">
        <v>0</v>
      </c>
      <c r="M198" s="1358">
        <v>0</v>
      </c>
      <c r="N198" s="848">
        <f>+J198+K198+P198</f>
        <v>1513179</v>
      </c>
      <c r="O198" s="702">
        <f t="shared" si="119"/>
        <v>116.07106421430029</v>
      </c>
      <c r="P198" s="699">
        <v>32700</v>
      </c>
      <c r="Q198" s="698">
        <v>0</v>
      </c>
      <c r="R198" s="2188">
        <f t="shared" si="121"/>
        <v>32700</v>
      </c>
      <c r="S198" s="2989"/>
      <c r="T198" s="2111">
        <f t="shared" si="124"/>
        <v>0</v>
      </c>
    </row>
    <row r="199" spans="1:20" ht="12.95" customHeight="1" x14ac:dyDescent="0.2">
      <c r="A199" s="3221"/>
      <c r="B199" s="2176" t="s">
        <v>13</v>
      </c>
      <c r="C199" s="2816"/>
      <c r="D199" s="837">
        <f t="shared" ref="D199:H199" si="135">+D200+D201</f>
        <v>26932718</v>
      </c>
      <c r="E199" s="839">
        <f t="shared" si="135"/>
        <v>10180198</v>
      </c>
      <c r="F199" s="839">
        <f t="shared" si="135"/>
        <v>4707520</v>
      </c>
      <c r="G199" s="839">
        <f t="shared" si="135"/>
        <v>5670000</v>
      </c>
      <c r="H199" s="2178">
        <f t="shared" si="135"/>
        <v>6375000</v>
      </c>
      <c r="I199" s="837">
        <f t="shared" ref="I199:N199" si="136">+I200+I201</f>
        <v>27348849</v>
      </c>
      <c r="J199" s="839">
        <f t="shared" si="136"/>
        <v>10180198</v>
      </c>
      <c r="K199" s="2195">
        <f>+K200+K201</f>
        <v>5123651</v>
      </c>
      <c r="L199" s="839">
        <f t="shared" si="136"/>
        <v>5670000</v>
      </c>
      <c r="M199" s="2178">
        <f t="shared" si="136"/>
        <v>6375000</v>
      </c>
      <c r="N199" s="2179">
        <f t="shared" si="136"/>
        <v>16601948</v>
      </c>
      <c r="O199" s="2180">
        <f t="shared" si="119"/>
        <v>61.64230435264647</v>
      </c>
      <c r="P199" s="839">
        <f>+P200+P201</f>
        <v>1298099</v>
      </c>
      <c r="Q199" s="2180">
        <f t="shared" si="120"/>
        <v>22.894162257495591</v>
      </c>
      <c r="R199" s="2181">
        <f t="shared" si="121"/>
        <v>-119401</v>
      </c>
      <c r="S199" s="2989"/>
      <c r="T199" s="2111">
        <f t="shared" si="124"/>
        <v>0</v>
      </c>
    </row>
    <row r="200" spans="1:20" ht="12.95" customHeight="1" x14ac:dyDescent="0.2">
      <c r="A200" s="3221"/>
      <c r="B200" s="696" t="s">
        <v>9</v>
      </c>
      <c r="C200" s="2816"/>
      <c r="D200" s="701">
        <f>+E200+F200+G200+H200</f>
        <v>22775902</v>
      </c>
      <c r="E200" s="699">
        <f>1438107+2427053+2998222</f>
        <v>6863382</v>
      </c>
      <c r="F200" s="699">
        <v>3867520</v>
      </c>
      <c r="G200" s="699">
        <v>5670000</v>
      </c>
      <c r="H200" s="1358">
        <f>4125000+2250000</f>
        <v>6375000</v>
      </c>
      <c r="I200" s="701">
        <f>+J200+K200+L200+M200</f>
        <v>22661594</v>
      </c>
      <c r="J200" s="699">
        <f>1438107+2427053+2998222</f>
        <v>6863382</v>
      </c>
      <c r="K200" s="2186">
        <v>3753212</v>
      </c>
      <c r="L200" s="699">
        <v>5670000</v>
      </c>
      <c r="M200" s="1358">
        <f>4125000+2250000</f>
        <v>6375000</v>
      </c>
      <c r="N200" s="848">
        <f>+J200+K200+P200</f>
        <v>11816594</v>
      </c>
      <c r="O200" s="2187">
        <f t="shared" si="119"/>
        <v>51.882002302257888</v>
      </c>
      <c r="P200" s="699">
        <v>1200000</v>
      </c>
      <c r="Q200" s="2187">
        <f t="shared" si="120"/>
        <v>21.164021164021165</v>
      </c>
      <c r="R200" s="2188">
        <f t="shared" si="121"/>
        <v>-217500</v>
      </c>
      <c r="S200" s="2989"/>
      <c r="T200" s="2111">
        <f t="shared" si="124"/>
        <v>0</v>
      </c>
    </row>
    <row r="201" spans="1:20" ht="12.95" customHeight="1" thickBot="1" x14ac:dyDescent="0.25">
      <c r="A201" s="3223"/>
      <c r="B201" s="696" t="s">
        <v>14</v>
      </c>
      <c r="C201" s="2818"/>
      <c r="D201" s="701">
        <f>+E201+F201+G201+H201</f>
        <v>4156816</v>
      </c>
      <c r="E201" s="699">
        <f>1352428+9176+1955212</f>
        <v>3316816</v>
      </c>
      <c r="F201" s="699">
        <v>840000</v>
      </c>
      <c r="G201" s="698">
        <v>0</v>
      </c>
      <c r="H201" s="700">
        <v>0</v>
      </c>
      <c r="I201" s="701">
        <f>+J201+K201+L201+M201</f>
        <v>4687255</v>
      </c>
      <c r="J201" s="699">
        <f>1352428+9176+1955212</f>
        <v>3316816</v>
      </c>
      <c r="K201" s="2186">
        <v>1370439</v>
      </c>
      <c r="L201" s="699">
        <v>0</v>
      </c>
      <c r="M201" s="1358">
        <v>0</v>
      </c>
      <c r="N201" s="848">
        <f>+J201+K201+P201</f>
        <v>4785354</v>
      </c>
      <c r="O201" s="2187">
        <f t="shared" si="119"/>
        <v>115.12065965873882</v>
      </c>
      <c r="P201" s="699">
        <v>98099</v>
      </c>
      <c r="Q201" s="1352">
        <v>0</v>
      </c>
      <c r="R201" s="2188">
        <f t="shared" si="121"/>
        <v>98099</v>
      </c>
      <c r="S201" s="2989"/>
      <c r="T201" s="2111">
        <f t="shared" si="124"/>
        <v>0</v>
      </c>
    </row>
    <row r="202" spans="1:20" ht="25.5" x14ac:dyDescent="0.2">
      <c r="A202" s="3242" t="s">
        <v>58</v>
      </c>
      <c r="B202" s="2240" t="s">
        <v>252</v>
      </c>
      <c r="C202" s="2241" t="s">
        <v>225</v>
      </c>
      <c r="D202" s="2162"/>
      <c r="E202" s="2163"/>
      <c r="F202" s="2163"/>
      <c r="G202" s="2163"/>
      <c r="H202" s="2164"/>
      <c r="I202" s="2162"/>
      <c r="J202" s="2163"/>
      <c r="K202" s="2163"/>
      <c r="L202" s="2163"/>
      <c r="M202" s="2164"/>
      <c r="N202" s="2242"/>
      <c r="O202" s="2243"/>
      <c r="P202" s="2244"/>
      <c r="Q202" s="2243"/>
      <c r="R202" s="2168"/>
      <c r="S202" s="2988" t="s">
        <v>250</v>
      </c>
      <c r="T202" s="2111">
        <f t="shared" si="124"/>
        <v>0</v>
      </c>
    </row>
    <row r="203" spans="1:20" ht="12.75" x14ac:dyDescent="0.2">
      <c r="A203" s="3243"/>
      <c r="B203" s="787" t="s">
        <v>3</v>
      </c>
      <c r="C203" s="2245"/>
      <c r="D203" s="711">
        <f t="shared" ref="D203:H203" si="137">+D204+D207</f>
        <v>128166</v>
      </c>
      <c r="E203" s="686">
        <f t="shared" si="137"/>
        <v>78966</v>
      </c>
      <c r="F203" s="686">
        <f t="shared" si="137"/>
        <v>0</v>
      </c>
      <c r="G203" s="686">
        <f t="shared" si="137"/>
        <v>49200</v>
      </c>
      <c r="H203" s="2172">
        <f t="shared" si="137"/>
        <v>0</v>
      </c>
      <c r="I203" s="711">
        <f t="shared" ref="I203:N203" si="138">+I204+I207</f>
        <v>128166</v>
      </c>
      <c r="J203" s="686">
        <f t="shared" si="138"/>
        <v>78966</v>
      </c>
      <c r="K203" s="686">
        <f t="shared" si="138"/>
        <v>0</v>
      </c>
      <c r="L203" s="686">
        <f t="shared" si="138"/>
        <v>49200</v>
      </c>
      <c r="M203" s="2172">
        <f t="shared" si="138"/>
        <v>0</v>
      </c>
      <c r="N203" s="2173">
        <f t="shared" si="138"/>
        <v>78966</v>
      </c>
      <c r="O203" s="712">
        <f t="shared" ref="O203:O225" si="139">N203/D203*100</f>
        <v>61.612284069097889</v>
      </c>
      <c r="P203" s="686">
        <f>+P204+P207</f>
        <v>0</v>
      </c>
      <c r="Q203" s="712">
        <f t="shared" ref="Q203:Q225" si="140">P203/G203*100</f>
        <v>0</v>
      </c>
      <c r="R203" s="2174">
        <f t="shared" si="121"/>
        <v>-12300</v>
      </c>
      <c r="S203" s="2989"/>
      <c r="T203" s="2111">
        <f t="shared" si="124"/>
        <v>0</v>
      </c>
    </row>
    <row r="204" spans="1:20" ht="12.75" x14ac:dyDescent="0.2">
      <c r="A204" s="3243"/>
      <c r="B204" s="2176" t="s">
        <v>4</v>
      </c>
      <c r="C204" s="3241" t="s">
        <v>251</v>
      </c>
      <c r="D204" s="837">
        <f t="shared" ref="D204:H204" si="141">+D205+D206</f>
        <v>49621</v>
      </c>
      <c r="E204" s="839">
        <f t="shared" si="141"/>
        <v>30421</v>
      </c>
      <c r="F204" s="839">
        <f t="shared" si="141"/>
        <v>0</v>
      </c>
      <c r="G204" s="839">
        <f t="shared" si="141"/>
        <v>19200</v>
      </c>
      <c r="H204" s="2178">
        <f t="shared" si="141"/>
        <v>0</v>
      </c>
      <c r="I204" s="837">
        <f t="shared" ref="I204:N204" si="142">+I205+I206</f>
        <v>49621</v>
      </c>
      <c r="J204" s="839">
        <f t="shared" si="142"/>
        <v>30421</v>
      </c>
      <c r="K204" s="839">
        <f t="shared" si="142"/>
        <v>0</v>
      </c>
      <c r="L204" s="839">
        <f t="shared" si="142"/>
        <v>19200</v>
      </c>
      <c r="M204" s="2178">
        <f t="shared" si="142"/>
        <v>0</v>
      </c>
      <c r="N204" s="2179">
        <f t="shared" si="142"/>
        <v>30421</v>
      </c>
      <c r="O204" s="2180">
        <f t="shared" si="139"/>
        <v>61.30670482255497</v>
      </c>
      <c r="P204" s="839">
        <f>SUM(P205:P206)</f>
        <v>0</v>
      </c>
      <c r="Q204" s="2180">
        <f t="shared" si="140"/>
        <v>0</v>
      </c>
      <c r="R204" s="2181">
        <f t="shared" ref="R204:R225" si="143">+P204-L204*0.25</f>
        <v>-4800</v>
      </c>
      <c r="S204" s="2989"/>
      <c r="T204" s="2111">
        <f t="shared" si="124"/>
        <v>0</v>
      </c>
    </row>
    <row r="205" spans="1:20" ht="11.25" customHeight="1" x14ac:dyDescent="0.2">
      <c r="A205" s="3243"/>
      <c r="B205" s="696" t="s">
        <v>5</v>
      </c>
      <c r="C205" s="2816"/>
      <c r="D205" s="701">
        <f>+E205+F205+G205+H205</f>
        <v>23440</v>
      </c>
      <c r="E205" s="699">
        <v>14240</v>
      </c>
      <c r="F205" s="699">
        <v>0</v>
      </c>
      <c r="G205" s="699">
        <v>9200</v>
      </c>
      <c r="H205" s="1358">
        <v>0</v>
      </c>
      <c r="I205" s="701">
        <f>+J205+K205+L205+M205</f>
        <v>23440</v>
      </c>
      <c r="J205" s="699">
        <v>14240</v>
      </c>
      <c r="K205" s="699">
        <v>0</v>
      </c>
      <c r="L205" s="699">
        <v>9200</v>
      </c>
      <c r="M205" s="1358">
        <v>0</v>
      </c>
      <c r="N205" s="848">
        <f>+J205+K205+P205</f>
        <v>14240</v>
      </c>
      <c r="O205" s="2187">
        <f t="shared" si="139"/>
        <v>60.750853242320822</v>
      </c>
      <c r="P205" s="699">
        <v>0</v>
      </c>
      <c r="Q205" s="2187">
        <f t="shared" si="140"/>
        <v>0</v>
      </c>
      <c r="R205" s="2188">
        <f t="shared" si="143"/>
        <v>-2300</v>
      </c>
      <c r="S205" s="2989"/>
      <c r="T205" s="2111">
        <f t="shared" si="124"/>
        <v>0</v>
      </c>
    </row>
    <row r="206" spans="1:20" ht="11.25" customHeight="1" x14ac:dyDescent="0.2">
      <c r="A206" s="3243"/>
      <c r="B206" s="696" t="s">
        <v>9</v>
      </c>
      <c r="C206" s="2816"/>
      <c r="D206" s="701">
        <f>+E206+F206+G206+H206</f>
        <v>26181</v>
      </c>
      <c r="E206" s="699">
        <v>16181</v>
      </c>
      <c r="F206" s="699">
        <v>0</v>
      </c>
      <c r="G206" s="699">
        <v>10000</v>
      </c>
      <c r="H206" s="1358">
        <v>0</v>
      </c>
      <c r="I206" s="701">
        <f>+J206+K206+L206+M206</f>
        <v>26181</v>
      </c>
      <c r="J206" s="699">
        <v>16181</v>
      </c>
      <c r="K206" s="699">
        <v>0</v>
      </c>
      <c r="L206" s="699">
        <v>10000</v>
      </c>
      <c r="M206" s="1358">
        <v>0</v>
      </c>
      <c r="N206" s="848">
        <f>+J206+K206+P206</f>
        <v>16181</v>
      </c>
      <c r="O206" s="702">
        <f t="shared" si="139"/>
        <v>61.80436194186624</v>
      </c>
      <c r="P206" s="699">
        <v>0</v>
      </c>
      <c r="Q206" s="702">
        <f t="shared" si="140"/>
        <v>0</v>
      </c>
      <c r="R206" s="2188">
        <f t="shared" si="143"/>
        <v>-2500</v>
      </c>
      <c r="S206" s="2989"/>
      <c r="T206" s="2111">
        <f t="shared" si="124"/>
        <v>0</v>
      </c>
    </row>
    <row r="207" spans="1:20" ht="11.25" customHeight="1" x14ac:dyDescent="0.2">
      <c r="A207" s="3243"/>
      <c r="B207" s="2176" t="s">
        <v>13</v>
      </c>
      <c r="C207" s="2816"/>
      <c r="D207" s="837">
        <f t="shared" ref="D207:H207" si="144">+D209+D208</f>
        <v>78545</v>
      </c>
      <c r="E207" s="839">
        <f t="shared" si="144"/>
        <v>48545</v>
      </c>
      <c r="F207" s="839">
        <f t="shared" si="144"/>
        <v>0</v>
      </c>
      <c r="G207" s="839">
        <f t="shared" si="144"/>
        <v>30000</v>
      </c>
      <c r="H207" s="2178">
        <f t="shared" si="144"/>
        <v>0</v>
      </c>
      <c r="I207" s="837">
        <f t="shared" ref="I207:N207" si="145">+I209+I208</f>
        <v>78545</v>
      </c>
      <c r="J207" s="839">
        <f t="shared" si="145"/>
        <v>48545</v>
      </c>
      <c r="K207" s="839">
        <f t="shared" si="145"/>
        <v>0</v>
      </c>
      <c r="L207" s="839">
        <f t="shared" si="145"/>
        <v>30000</v>
      </c>
      <c r="M207" s="2178">
        <f t="shared" si="145"/>
        <v>0</v>
      </c>
      <c r="N207" s="2179">
        <f t="shared" si="145"/>
        <v>48545</v>
      </c>
      <c r="O207" s="2180">
        <f t="shared" si="139"/>
        <v>61.805334521611812</v>
      </c>
      <c r="P207" s="839">
        <f>+P209</f>
        <v>0</v>
      </c>
      <c r="Q207" s="2180">
        <f t="shared" si="140"/>
        <v>0</v>
      </c>
      <c r="R207" s="2181">
        <f t="shared" si="143"/>
        <v>-7500</v>
      </c>
      <c r="S207" s="2989"/>
      <c r="T207" s="2111">
        <f t="shared" si="124"/>
        <v>0</v>
      </c>
    </row>
    <row r="208" spans="1:20" ht="12.75" hidden="1" customHeight="1" x14ac:dyDescent="0.2">
      <c r="A208" s="3243"/>
      <c r="B208" s="696" t="s">
        <v>5</v>
      </c>
      <c r="C208" s="2816"/>
      <c r="D208" s="492">
        <f>+E208+F208+G208+H208</f>
        <v>0</v>
      </c>
      <c r="E208" s="492"/>
      <c r="F208" s="492">
        <v>0</v>
      </c>
      <c r="G208" s="492">
        <v>0</v>
      </c>
      <c r="H208" s="492">
        <v>0</v>
      </c>
      <c r="I208" s="492">
        <f>+J208+K208+L208+M208</f>
        <v>0</v>
      </c>
      <c r="J208" s="492"/>
      <c r="K208" s="492">
        <v>0</v>
      </c>
      <c r="L208" s="492">
        <v>0</v>
      </c>
      <c r="M208" s="492">
        <v>0</v>
      </c>
      <c r="N208" s="2387">
        <f>+J208</f>
        <v>0</v>
      </c>
      <c r="O208" s="2190" t="e">
        <f t="shared" si="139"/>
        <v>#DIV/0!</v>
      </c>
      <c r="P208" s="1600">
        <v>0</v>
      </c>
      <c r="Q208" s="2190" t="e">
        <f t="shared" si="140"/>
        <v>#DIV/0!</v>
      </c>
      <c r="R208" s="492">
        <f t="shared" si="143"/>
        <v>0</v>
      </c>
      <c r="S208" s="2989"/>
      <c r="T208" s="2111">
        <f t="shared" si="124"/>
        <v>0</v>
      </c>
    </row>
    <row r="209" spans="1:20" ht="12" customHeight="1" x14ac:dyDescent="0.2">
      <c r="A209" s="3243"/>
      <c r="B209" s="696" t="s">
        <v>9</v>
      </c>
      <c r="C209" s="2816"/>
      <c r="D209" s="701">
        <f>+E209+F209+G209+H209</f>
        <v>78545</v>
      </c>
      <c r="E209" s="699">
        <v>48545</v>
      </c>
      <c r="F209" s="699"/>
      <c r="G209" s="699">
        <v>30000</v>
      </c>
      <c r="H209" s="1358">
        <v>0</v>
      </c>
      <c r="I209" s="701">
        <f>+J209+K209+L209+M209</f>
        <v>78545</v>
      </c>
      <c r="J209" s="699">
        <v>48545</v>
      </c>
      <c r="K209" s="699"/>
      <c r="L209" s="699">
        <v>30000</v>
      </c>
      <c r="M209" s="1358"/>
      <c r="N209" s="848">
        <f>+J209+K209+P209</f>
        <v>48545</v>
      </c>
      <c r="O209" s="2187">
        <f t="shared" si="139"/>
        <v>61.805334521611812</v>
      </c>
      <c r="P209" s="699">
        <v>0</v>
      </c>
      <c r="Q209" s="2187">
        <f t="shared" si="140"/>
        <v>0</v>
      </c>
      <c r="R209" s="2188">
        <f t="shared" si="143"/>
        <v>-7500</v>
      </c>
      <c r="S209" s="2989"/>
      <c r="T209" s="2111">
        <f t="shared" si="124"/>
        <v>0</v>
      </c>
    </row>
    <row r="210" spans="1:20" ht="12.75" x14ac:dyDescent="0.2">
      <c r="A210" s="3243"/>
      <c r="B210" s="787" t="s">
        <v>17</v>
      </c>
      <c r="C210" s="2245"/>
      <c r="D210" s="711">
        <f t="shared" ref="D210:H210" si="146">+D211+D214</f>
        <v>104726</v>
      </c>
      <c r="E210" s="686">
        <f t="shared" si="146"/>
        <v>64726</v>
      </c>
      <c r="F210" s="686">
        <f t="shared" si="146"/>
        <v>0</v>
      </c>
      <c r="G210" s="686">
        <f t="shared" si="146"/>
        <v>40000</v>
      </c>
      <c r="H210" s="2172">
        <f t="shared" si="146"/>
        <v>0</v>
      </c>
      <c r="I210" s="711">
        <f t="shared" ref="I210:N210" si="147">+I211+I214</f>
        <v>104726</v>
      </c>
      <c r="J210" s="686">
        <f t="shared" si="147"/>
        <v>64726</v>
      </c>
      <c r="K210" s="686">
        <f t="shared" si="147"/>
        <v>0</v>
      </c>
      <c r="L210" s="686">
        <f t="shared" si="147"/>
        <v>40000</v>
      </c>
      <c r="M210" s="2172">
        <f t="shared" si="147"/>
        <v>0</v>
      </c>
      <c r="N210" s="2173">
        <f t="shared" si="147"/>
        <v>64726</v>
      </c>
      <c r="O210" s="712">
        <f t="shared" si="139"/>
        <v>61.805091381318867</v>
      </c>
      <c r="P210" s="686">
        <f>+P211+P214</f>
        <v>0</v>
      </c>
      <c r="Q210" s="712">
        <f t="shared" si="140"/>
        <v>0</v>
      </c>
      <c r="R210" s="2174">
        <f t="shared" si="143"/>
        <v>-10000</v>
      </c>
      <c r="S210" s="2989"/>
      <c r="T210" s="2111">
        <f t="shared" si="124"/>
        <v>0</v>
      </c>
    </row>
    <row r="211" spans="1:20" ht="12.75" x14ac:dyDescent="0.2">
      <c r="A211" s="3243"/>
      <c r="B211" s="2176" t="s">
        <v>4</v>
      </c>
      <c r="C211" s="3228" t="s">
        <v>251</v>
      </c>
      <c r="D211" s="837">
        <f t="shared" ref="D211:H211" si="148">+D212+D213</f>
        <v>26181</v>
      </c>
      <c r="E211" s="839">
        <f t="shared" si="148"/>
        <v>16181</v>
      </c>
      <c r="F211" s="839">
        <f t="shared" si="148"/>
        <v>0</v>
      </c>
      <c r="G211" s="839">
        <f t="shared" si="148"/>
        <v>10000</v>
      </c>
      <c r="H211" s="2178">
        <f t="shared" si="148"/>
        <v>0</v>
      </c>
      <c r="I211" s="837">
        <f t="shared" ref="I211:N211" si="149">+I212+I213</f>
        <v>26181</v>
      </c>
      <c r="J211" s="839">
        <f t="shared" si="149"/>
        <v>16181</v>
      </c>
      <c r="K211" s="839">
        <f t="shared" si="149"/>
        <v>0</v>
      </c>
      <c r="L211" s="839">
        <f t="shared" si="149"/>
        <v>10000</v>
      </c>
      <c r="M211" s="2178">
        <f t="shared" si="149"/>
        <v>0</v>
      </c>
      <c r="N211" s="2179">
        <f t="shared" si="149"/>
        <v>16181</v>
      </c>
      <c r="O211" s="2180">
        <f t="shared" si="139"/>
        <v>61.80436194186624</v>
      </c>
      <c r="P211" s="839">
        <f>+P212+P213</f>
        <v>0</v>
      </c>
      <c r="Q211" s="2180">
        <f t="shared" si="140"/>
        <v>0</v>
      </c>
      <c r="R211" s="2181">
        <f t="shared" si="143"/>
        <v>-2500</v>
      </c>
      <c r="S211" s="2989"/>
      <c r="T211" s="2111">
        <f t="shared" si="124"/>
        <v>0</v>
      </c>
    </row>
    <row r="212" spans="1:20" ht="12.75" x14ac:dyDescent="0.2">
      <c r="A212" s="3243"/>
      <c r="B212" s="696" t="s">
        <v>9</v>
      </c>
      <c r="C212" s="2816"/>
      <c r="D212" s="701">
        <f>+E212+F212+G212+H212</f>
        <v>26181</v>
      </c>
      <c r="E212" s="699">
        <v>16181</v>
      </c>
      <c r="F212" s="699"/>
      <c r="G212" s="699">
        <v>10000</v>
      </c>
      <c r="H212" s="1358">
        <v>0</v>
      </c>
      <c r="I212" s="701">
        <f>+J212+K212+L212+M212</f>
        <v>26181</v>
      </c>
      <c r="J212" s="699">
        <v>16181</v>
      </c>
      <c r="K212" s="699"/>
      <c r="L212" s="699">
        <v>10000</v>
      </c>
      <c r="M212" s="1358"/>
      <c r="N212" s="848">
        <f>+J212+K212+P212</f>
        <v>16181</v>
      </c>
      <c r="O212" s="702">
        <f t="shared" si="139"/>
        <v>61.80436194186624</v>
      </c>
      <c r="P212" s="699">
        <v>0</v>
      </c>
      <c r="Q212" s="702">
        <f t="shared" si="140"/>
        <v>0</v>
      </c>
      <c r="R212" s="2188">
        <f t="shared" si="143"/>
        <v>-2500</v>
      </c>
      <c r="S212" s="2989"/>
      <c r="T212" s="2111">
        <f t="shared" si="124"/>
        <v>0</v>
      </c>
    </row>
    <row r="213" spans="1:20" ht="12.75" hidden="1" customHeight="1" x14ac:dyDescent="0.2">
      <c r="A213" s="3243"/>
      <c r="B213" s="696" t="s">
        <v>223</v>
      </c>
      <c r="C213" s="2816"/>
      <c r="D213" s="492">
        <f>+E213+F213+G213+H213</f>
        <v>0</v>
      </c>
      <c r="E213" s="492"/>
      <c r="F213" s="492"/>
      <c r="G213" s="492"/>
      <c r="H213" s="2388">
        <v>0</v>
      </c>
      <c r="I213" s="492">
        <f>+J213+K213+L213+M213</f>
        <v>0</v>
      </c>
      <c r="J213" s="492"/>
      <c r="K213" s="492"/>
      <c r="L213" s="492"/>
      <c r="M213" s="2388">
        <v>0</v>
      </c>
      <c r="N213" s="2250">
        <f>+J213+K213+P213</f>
        <v>0</v>
      </c>
      <c r="O213" s="2215" t="e">
        <f t="shared" si="139"/>
        <v>#DIV/0!</v>
      </c>
      <c r="P213" s="492"/>
      <c r="Q213" s="2215" t="e">
        <f t="shared" si="140"/>
        <v>#DIV/0!</v>
      </c>
      <c r="R213" s="492">
        <f t="shared" si="143"/>
        <v>0</v>
      </c>
      <c r="S213" s="2989"/>
      <c r="T213" s="2111">
        <f t="shared" si="124"/>
        <v>0</v>
      </c>
    </row>
    <row r="214" spans="1:20" ht="12.75" x14ac:dyDescent="0.2">
      <c r="A214" s="3243"/>
      <c r="B214" s="2176" t="s">
        <v>13</v>
      </c>
      <c r="C214" s="2816"/>
      <c r="D214" s="837">
        <f t="shared" ref="D214:H214" si="150">+D215+D216</f>
        <v>78545</v>
      </c>
      <c r="E214" s="839">
        <f t="shared" si="150"/>
        <v>48545</v>
      </c>
      <c r="F214" s="839">
        <f t="shared" si="150"/>
        <v>0</v>
      </c>
      <c r="G214" s="839">
        <f t="shared" si="150"/>
        <v>30000</v>
      </c>
      <c r="H214" s="2178">
        <f t="shared" si="150"/>
        <v>0</v>
      </c>
      <c r="I214" s="837">
        <f t="shared" ref="I214:N214" si="151">+I215+I216</f>
        <v>78545</v>
      </c>
      <c r="J214" s="839">
        <f t="shared" si="151"/>
        <v>48545</v>
      </c>
      <c r="K214" s="839">
        <f t="shared" si="151"/>
        <v>0</v>
      </c>
      <c r="L214" s="839">
        <f t="shared" si="151"/>
        <v>30000</v>
      </c>
      <c r="M214" s="2178">
        <f t="shared" si="151"/>
        <v>0</v>
      </c>
      <c r="N214" s="2179">
        <f t="shared" si="151"/>
        <v>48545</v>
      </c>
      <c r="O214" s="2180">
        <f t="shared" si="139"/>
        <v>61.805334521611812</v>
      </c>
      <c r="P214" s="839">
        <f>+P215+P216</f>
        <v>0</v>
      </c>
      <c r="Q214" s="2180">
        <f t="shared" si="140"/>
        <v>0</v>
      </c>
      <c r="R214" s="2181">
        <f t="shared" si="143"/>
        <v>-7500</v>
      </c>
      <c r="S214" s="2989"/>
      <c r="T214" s="2111">
        <f t="shared" si="124"/>
        <v>0</v>
      </c>
    </row>
    <row r="215" spans="1:20" ht="13.5" thickBot="1" x14ac:dyDescent="0.25">
      <c r="A215" s="3243"/>
      <c r="B215" s="696" t="s">
        <v>9</v>
      </c>
      <c r="C215" s="2816"/>
      <c r="D215" s="701">
        <f>+E215+F215+G215+H215</f>
        <v>78545</v>
      </c>
      <c r="E215" s="699">
        <v>48545</v>
      </c>
      <c r="F215" s="699"/>
      <c r="G215" s="699">
        <v>30000</v>
      </c>
      <c r="H215" s="1358">
        <v>0</v>
      </c>
      <c r="I215" s="701">
        <f>+J215+K215+L215+M215</f>
        <v>78545</v>
      </c>
      <c r="J215" s="699">
        <v>48545</v>
      </c>
      <c r="K215" s="699"/>
      <c r="L215" s="699">
        <v>30000</v>
      </c>
      <c r="M215" s="1358"/>
      <c r="N215" s="848">
        <f>+J215+K215+P215</f>
        <v>48545</v>
      </c>
      <c r="O215" s="2187">
        <f t="shared" si="139"/>
        <v>61.805334521611812</v>
      </c>
      <c r="P215" s="699">
        <v>0</v>
      </c>
      <c r="Q215" s="2187">
        <f t="shared" si="140"/>
        <v>0</v>
      </c>
      <c r="R215" s="2188">
        <f t="shared" si="143"/>
        <v>-7500</v>
      </c>
      <c r="S215" s="2989"/>
      <c r="T215" s="2111">
        <f t="shared" si="124"/>
        <v>0</v>
      </c>
    </row>
    <row r="216" spans="1:20" ht="13.5" hidden="1" customHeight="1" thickBot="1" x14ac:dyDescent="0.25">
      <c r="A216" s="3244"/>
      <c r="B216" s="780" t="s">
        <v>14</v>
      </c>
      <c r="C216" s="2818"/>
      <c r="D216" s="2389">
        <f>+E216+F216+G216+H216</f>
        <v>0</v>
      </c>
      <c r="E216" s="2198"/>
      <c r="F216" s="2198"/>
      <c r="G216" s="2198"/>
      <c r="H216" s="2390">
        <v>0</v>
      </c>
      <c r="I216" s="2389">
        <f>+J216+K216+L216+M216</f>
        <v>0</v>
      </c>
      <c r="J216" s="2198"/>
      <c r="K216" s="2198"/>
      <c r="L216" s="2198"/>
      <c r="M216" s="2390">
        <v>0</v>
      </c>
      <c r="N216" s="2391">
        <f>+J216+K216+P216</f>
        <v>0</v>
      </c>
      <c r="O216" s="2389" t="e">
        <f t="shared" si="139"/>
        <v>#DIV/0!</v>
      </c>
      <c r="P216" s="2198"/>
      <c r="Q216" s="2389" t="e">
        <f t="shared" si="140"/>
        <v>#DIV/0!</v>
      </c>
      <c r="R216" s="2392">
        <f t="shared" si="143"/>
        <v>0</v>
      </c>
      <c r="S216" s="2990"/>
      <c r="T216" s="2111">
        <f t="shared" si="124"/>
        <v>0</v>
      </c>
    </row>
    <row r="217" spans="1:20" ht="36.75" customHeight="1" x14ac:dyDescent="0.2">
      <c r="A217" s="3245" t="s">
        <v>60</v>
      </c>
      <c r="B217" s="2393" t="s">
        <v>253</v>
      </c>
      <c r="C217" s="2394" t="s">
        <v>233</v>
      </c>
      <c r="D217" s="2162"/>
      <c r="E217" s="2163"/>
      <c r="F217" s="2163"/>
      <c r="G217" s="2163"/>
      <c r="H217" s="2164"/>
      <c r="I217" s="2162"/>
      <c r="J217" s="2163"/>
      <c r="K217" s="2163"/>
      <c r="L217" s="2163"/>
      <c r="M217" s="2164"/>
      <c r="N217" s="2242"/>
      <c r="O217" s="2243"/>
      <c r="P217" s="2244"/>
      <c r="Q217" s="2243"/>
      <c r="R217" s="2168"/>
      <c r="S217" s="3248" t="s">
        <v>240</v>
      </c>
      <c r="T217" s="2111">
        <f t="shared" si="124"/>
        <v>0</v>
      </c>
    </row>
    <row r="218" spans="1:20" ht="12.95" customHeight="1" x14ac:dyDescent="0.2">
      <c r="A218" s="3246"/>
      <c r="B218" s="2395" t="s">
        <v>3</v>
      </c>
      <c r="C218" s="2245"/>
      <c r="D218" s="711">
        <f t="shared" ref="D218:H218" si="152">D219+D221</f>
        <v>17418</v>
      </c>
      <c r="E218" s="686">
        <f t="shared" si="152"/>
        <v>10943</v>
      </c>
      <c r="F218" s="686">
        <f t="shared" si="152"/>
        <v>1231</v>
      </c>
      <c r="G218" s="686">
        <f t="shared" si="152"/>
        <v>5244</v>
      </c>
      <c r="H218" s="2172">
        <f t="shared" si="152"/>
        <v>0</v>
      </c>
      <c r="I218" s="711">
        <f t="shared" ref="I218:N218" si="153">I219+I221</f>
        <v>19039</v>
      </c>
      <c r="J218" s="686">
        <f t="shared" si="153"/>
        <v>10943</v>
      </c>
      <c r="K218" s="686">
        <f t="shared" si="153"/>
        <v>2852</v>
      </c>
      <c r="L218" s="686">
        <f t="shared" si="153"/>
        <v>5244</v>
      </c>
      <c r="M218" s="2172">
        <f t="shared" si="153"/>
        <v>0</v>
      </c>
      <c r="N218" s="2173">
        <f t="shared" si="153"/>
        <v>13795</v>
      </c>
      <c r="O218" s="712">
        <f t="shared" si="139"/>
        <v>79.199678493512465</v>
      </c>
      <c r="P218" s="686">
        <f>P219+P221</f>
        <v>0</v>
      </c>
      <c r="Q218" s="712">
        <f t="shared" si="140"/>
        <v>0</v>
      </c>
      <c r="R218" s="2174">
        <f t="shared" si="143"/>
        <v>-1311</v>
      </c>
      <c r="S218" s="2834"/>
      <c r="T218" s="2111">
        <f t="shared" ref="T218:T225" si="154">J218+K218+P218-N218</f>
        <v>0</v>
      </c>
    </row>
    <row r="219" spans="1:20" ht="12.95" customHeight="1" x14ac:dyDescent="0.2">
      <c r="A219" s="3246"/>
      <c r="B219" s="2396" t="s">
        <v>4</v>
      </c>
      <c r="C219" s="3249" t="s">
        <v>254</v>
      </c>
      <c r="D219" s="837">
        <f t="shared" ref="D219:P219" si="155">D220</f>
        <v>2612</v>
      </c>
      <c r="E219" s="839">
        <f t="shared" si="155"/>
        <v>1641</v>
      </c>
      <c r="F219" s="839">
        <f t="shared" si="155"/>
        <v>185</v>
      </c>
      <c r="G219" s="839">
        <f t="shared" si="155"/>
        <v>786</v>
      </c>
      <c r="H219" s="2178">
        <f t="shared" si="155"/>
        <v>0</v>
      </c>
      <c r="I219" s="837">
        <f t="shared" si="155"/>
        <v>2855</v>
      </c>
      <c r="J219" s="839">
        <f t="shared" si="155"/>
        <v>1641</v>
      </c>
      <c r="K219" s="839">
        <f t="shared" si="155"/>
        <v>428</v>
      </c>
      <c r="L219" s="839">
        <f t="shared" si="155"/>
        <v>786</v>
      </c>
      <c r="M219" s="2178">
        <f t="shared" si="155"/>
        <v>0</v>
      </c>
      <c r="N219" s="2179">
        <f t="shared" si="155"/>
        <v>2069</v>
      </c>
      <c r="O219" s="2180">
        <f t="shared" si="139"/>
        <v>79.211332312404295</v>
      </c>
      <c r="P219" s="839">
        <f t="shared" si="155"/>
        <v>0</v>
      </c>
      <c r="Q219" s="2180">
        <f t="shared" si="140"/>
        <v>0</v>
      </c>
      <c r="R219" s="2181">
        <f t="shared" si="143"/>
        <v>-196.5</v>
      </c>
      <c r="S219" s="2834"/>
      <c r="T219" s="2111">
        <f t="shared" si="154"/>
        <v>0</v>
      </c>
    </row>
    <row r="220" spans="1:20" ht="12.95" customHeight="1" x14ac:dyDescent="0.2">
      <c r="A220" s="3246"/>
      <c r="B220" s="2397" t="s">
        <v>5</v>
      </c>
      <c r="C220" s="3250"/>
      <c r="D220" s="701">
        <f>+E220+F220+G220+H220</f>
        <v>2612</v>
      </c>
      <c r="E220" s="699">
        <v>1641</v>
      </c>
      <c r="F220" s="699">
        <v>185</v>
      </c>
      <c r="G220" s="699">
        <v>786</v>
      </c>
      <c r="H220" s="1358">
        <v>0</v>
      </c>
      <c r="I220" s="701">
        <f>+J220+K220+L220+M220</f>
        <v>2855</v>
      </c>
      <c r="J220" s="699">
        <v>1641</v>
      </c>
      <c r="K220" s="699">
        <v>428</v>
      </c>
      <c r="L220" s="699">
        <v>786</v>
      </c>
      <c r="M220" s="1358"/>
      <c r="N220" s="848">
        <f>+J220+K220+P220</f>
        <v>2069</v>
      </c>
      <c r="O220" s="2187">
        <f t="shared" si="139"/>
        <v>79.211332312404295</v>
      </c>
      <c r="P220" s="699">
        <v>0</v>
      </c>
      <c r="Q220" s="2187">
        <f t="shared" si="140"/>
        <v>0</v>
      </c>
      <c r="R220" s="2188">
        <f t="shared" si="143"/>
        <v>-196.5</v>
      </c>
      <c r="S220" s="2834"/>
      <c r="T220" s="2111">
        <f t="shared" si="154"/>
        <v>0</v>
      </c>
    </row>
    <row r="221" spans="1:20" ht="12.95" customHeight="1" x14ac:dyDescent="0.2">
      <c r="A221" s="3246"/>
      <c r="B221" s="2398" t="s">
        <v>13</v>
      </c>
      <c r="C221" s="3250"/>
      <c r="D221" s="837">
        <f t="shared" ref="D221:P221" si="156">D222</f>
        <v>14806</v>
      </c>
      <c r="E221" s="839">
        <f t="shared" si="156"/>
        <v>9302</v>
      </c>
      <c r="F221" s="839">
        <f t="shared" si="156"/>
        <v>1046</v>
      </c>
      <c r="G221" s="839">
        <f t="shared" si="156"/>
        <v>4458</v>
      </c>
      <c r="H221" s="2178">
        <f t="shared" si="156"/>
        <v>0</v>
      </c>
      <c r="I221" s="837">
        <f t="shared" si="156"/>
        <v>16184</v>
      </c>
      <c r="J221" s="839">
        <f t="shared" si="156"/>
        <v>9302</v>
      </c>
      <c r="K221" s="839">
        <f t="shared" si="156"/>
        <v>2424</v>
      </c>
      <c r="L221" s="839">
        <f t="shared" si="156"/>
        <v>4458</v>
      </c>
      <c r="M221" s="2178">
        <f t="shared" si="156"/>
        <v>0</v>
      </c>
      <c r="N221" s="2179">
        <f t="shared" si="156"/>
        <v>11726</v>
      </c>
      <c r="O221" s="2180">
        <f t="shared" si="139"/>
        <v>79.197622585438339</v>
      </c>
      <c r="P221" s="839">
        <f t="shared" si="156"/>
        <v>0</v>
      </c>
      <c r="Q221" s="2180">
        <f t="shared" si="140"/>
        <v>0</v>
      </c>
      <c r="R221" s="2181">
        <f t="shared" si="143"/>
        <v>-1114.5</v>
      </c>
      <c r="S221" s="2834"/>
      <c r="T221" s="2111">
        <f t="shared" si="154"/>
        <v>0</v>
      </c>
    </row>
    <row r="222" spans="1:20" ht="12.95" customHeight="1" x14ac:dyDescent="0.2">
      <c r="A222" s="3246"/>
      <c r="B222" s="2397" t="s">
        <v>15</v>
      </c>
      <c r="C222" s="3250"/>
      <c r="D222" s="701">
        <f>+E222+F222+G222+H222</f>
        <v>14806</v>
      </c>
      <c r="E222" s="699">
        <v>9302</v>
      </c>
      <c r="F222" s="699">
        <v>1046</v>
      </c>
      <c r="G222" s="699">
        <v>4458</v>
      </c>
      <c r="H222" s="1358">
        <v>0</v>
      </c>
      <c r="I222" s="701">
        <f>+J222+K222+L222+M222</f>
        <v>16184</v>
      </c>
      <c r="J222" s="699">
        <v>9302</v>
      </c>
      <c r="K222" s="699">
        <v>2424</v>
      </c>
      <c r="L222" s="699">
        <v>4458</v>
      </c>
      <c r="M222" s="1358"/>
      <c r="N222" s="848">
        <f>+J222+K222+P222</f>
        <v>11726</v>
      </c>
      <c r="O222" s="2187">
        <f t="shared" si="139"/>
        <v>79.197622585438339</v>
      </c>
      <c r="P222" s="699">
        <v>0</v>
      </c>
      <c r="Q222" s="2187">
        <f t="shared" si="140"/>
        <v>0</v>
      </c>
      <c r="R222" s="2188">
        <f t="shared" si="143"/>
        <v>-1114.5</v>
      </c>
      <c r="S222" s="2834"/>
      <c r="T222" s="2111">
        <f t="shared" si="154"/>
        <v>0</v>
      </c>
    </row>
    <row r="223" spans="1:20" ht="12.95" customHeight="1" x14ac:dyDescent="0.2">
      <c r="A223" s="3246"/>
      <c r="B223" s="2395" t="s">
        <v>17</v>
      </c>
      <c r="C223" s="2245"/>
      <c r="D223" s="711">
        <f t="shared" ref="D223:P224" si="157">D224</f>
        <v>14806</v>
      </c>
      <c r="E223" s="686">
        <f t="shared" si="157"/>
        <v>0</v>
      </c>
      <c r="F223" s="686">
        <f t="shared" si="157"/>
        <v>10348</v>
      </c>
      <c r="G223" s="686">
        <f t="shared" si="157"/>
        <v>2283</v>
      </c>
      <c r="H223" s="2172">
        <f t="shared" si="157"/>
        <v>2175</v>
      </c>
      <c r="I223" s="711">
        <f t="shared" si="157"/>
        <v>13760</v>
      </c>
      <c r="J223" s="686">
        <f t="shared" si="157"/>
        <v>0</v>
      </c>
      <c r="K223" s="686">
        <f t="shared" si="157"/>
        <v>9302</v>
      </c>
      <c r="L223" s="686">
        <f t="shared" si="157"/>
        <v>2283</v>
      </c>
      <c r="M223" s="2172">
        <f t="shared" si="157"/>
        <v>2175</v>
      </c>
      <c r="N223" s="2173">
        <f t="shared" si="157"/>
        <v>10494</v>
      </c>
      <c r="O223" s="712">
        <f t="shared" si="139"/>
        <v>70.876671619613674</v>
      </c>
      <c r="P223" s="686">
        <f t="shared" si="157"/>
        <v>1192</v>
      </c>
      <c r="Q223" s="712">
        <f t="shared" si="140"/>
        <v>52.212001752080596</v>
      </c>
      <c r="R223" s="2174">
        <f t="shared" si="143"/>
        <v>621.25</v>
      </c>
      <c r="S223" s="2834"/>
      <c r="T223" s="2111">
        <f t="shared" si="154"/>
        <v>0</v>
      </c>
    </row>
    <row r="224" spans="1:20" ht="12.95" customHeight="1" x14ac:dyDescent="0.2">
      <c r="A224" s="3246"/>
      <c r="B224" s="2399" t="s">
        <v>13</v>
      </c>
      <c r="C224" s="3249" t="s">
        <v>255</v>
      </c>
      <c r="D224" s="837">
        <f t="shared" si="157"/>
        <v>14806</v>
      </c>
      <c r="E224" s="839">
        <f t="shared" si="157"/>
        <v>0</v>
      </c>
      <c r="F224" s="839">
        <f t="shared" si="157"/>
        <v>10348</v>
      </c>
      <c r="G224" s="839">
        <f t="shared" si="157"/>
        <v>2283</v>
      </c>
      <c r="H224" s="2178">
        <f t="shared" si="157"/>
        <v>2175</v>
      </c>
      <c r="I224" s="837">
        <f t="shared" si="157"/>
        <v>13760</v>
      </c>
      <c r="J224" s="839">
        <f t="shared" si="157"/>
        <v>0</v>
      </c>
      <c r="K224" s="2237">
        <f t="shared" si="157"/>
        <v>9302</v>
      </c>
      <c r="L224" s="839">
        <f t="shared" si="157"/>
        <v>2283</v>
      </c>
      <c r="M224" s="2178">
        <f t="shared" si="157"/>
        <v>2175</v>
      </c>
      <c r="N224" s="2179">
        <f t="shared" si="157"/>
        <v>10494</v>
      </c>
      <c r="O224" s="2246">
        <f t="shared" si="139"/>
        <v>70.876671619613674</v>
      </c>
      <c r="P224" s="2237">
        <f t="shared" si="157"/>
        <v>1192</v>
      </c>
      <c r="Q224" s="2246">
        <f t="shared" si="140"/>
        <v>52.212001752080596</v>
      </c>
      <c r="R224" s="2181">
        <f t="shared" si="143"/>
        <v>621.25</v>
      </c>
      <c r="S224" s="2834"/>
      <c r="T224" s="2111">
        <f t="shared" si="154"/>
        <v>0</v>
      </c>
    </row>
    <row r="225" spans="1:71" ht="12.95" customHeight="1" thickBot="1" x14ac:dyDescent="0.25">
      <c r="A225" s="3247"/>
      <c r="B225" s="2400" t="s">
        <v>15</v>
      </c>
      <c r="C225" s="3251"/>
      <c r="D225" s="722">
        <f>+E225+F225+G225+H225</f>
        <v>14806</v>
      </c>
      <c r="E225" s="720"/>
      <c r="F225" s="720">
        <v>10348</v>
      </c>
      <c r="G225" s="720">
        <v>2283</v>
      </c>
      <c r="H225" s="1116">
        <v>2175</v>
      </c>
      <c r="I225" s="722">
        <f>+J225+K225+L225+M225</f>
        <v>13760</v>
      </c>
      <c r="J225" s="720"/>
      <c r="K225" s="720">
        <v>9302</v>
      </c>
      <c r="L225" s="720">
        <v>2283</v>
      </c>
      <c r="M225" s="1116">
        <v>2175</v>
      </c>
      <c r="N225" s="1359">
        <f>+J225+K225+P225</f>
        <v>10494</v>
      </c>
      <c r="O225" s="723">
        <f t="shared" si="139"/>
        <v>70.876671619613674</v>
      </c>
      <c r="P225" s="720">
        <v>1192</v>
      </c>
      <c r="Q225" s="723">
        <f t="shared" si="140"/>
        <v>52.212001752080596</v>
      </c>
      <c r="R225" s="2217">
        <f t="shared" si="143"/>
        <v>621.25</v>
      </c>
      <c r="S225" s="2837"/>
      <c r="T225" s="2111">
        <f t="shared" si="154"/>
        <v>0</v>
      </c>
    </row>
    <row r="226" spans="1:71" ht="32.25" customHeight="1" thickBot="1" x14ac:dyDescent="0.25">
      <c r="A226" s="3256" t="s">
        <v>256</v>
      </c>
      <c r="B226" s="3257"/>
      <c r="C226" s="3257"/>
      <c r="D226" s="3257"/>
      <c r="E226" s="3257"/>
      <c r="F226" s="3257"/>
      <c r="G226" s="3257"/>
      <c r="H226" s="3257"/>
      <c r="I226" s="3257"/>
      <c r="J226" s="3257"/>
      <c r="K226" s="3257"/>
      <c r="L226" s="3257"/>
      <c r="M226" s="3257"/>
      <c r="N226" s="3257"/>
      <c r="O226" s="3257"/>
      <c r="P226" s="3257"/>
      <c r="Q226" s="3257"/>
      <c r="R226" s="3257"/>
      <c r="S226" s="3257"/>
      <c r="T226" s="2111"/>
    </row>
    <row r="227" spans="1:71" ht="18" customHeight="1" thickBot="1" x14ac:dyDescent="0.25">
      <c r="A227" s="1958"/>
      <c r="B227" s="264" t="s">
        <v>220</v>
      </c>
      <c r="C227" s="509"/>
      <c r="D227" s="35">
        <f t="shared" ref="D227:H227" si="158">D228+D229</f>
        <v>14938616</v>
      </c>
      <c r="E227" s="36">
        <f t="shared" si="158"/>
        <v>10018546</v>
      </c>
      <c r="F227" s="34">
        <f t="shared" si="158"/>
        <v>3779769</v>
      </c>
      <c r="G227" s="36">
        <f t="shared" si="158"/>
        <v>1140301</v>
      </c>
      <c r="H227" s="2401">
        <f t="shared" si="158"/>
        <v>0</v>
      </c>
      <c r="I227" s="35">
        <f t="shared" ref="I227:N227" si="159">I228+I229</f>
        <v>14938616</v>
      </c>
      <c r="J227" s="36">
        <f t="shared" si="159"/>
        <v>10018546</v>
      </c>
      <c r="K227" s="34">
        <f t="shared" si="159"/>
        <v>3779769</v>
      </c>
      <c r="L227" s="36">
        <f t="shared" si="159"/>
        <v>1140301</v>
      </c>
      <c r="M227" s="34">
        <f t="shared" si="159"/>
        <v>0</v>
      </c>
      <c r="N227" s="36">
        <f t="shared" si="159"/>
        <v>13798315</v>
      </c>
      <c r="O227" s="267">
        <f>N227/D227*100</f>
        <v>92.366756063613934</v>
      </c>
      <c r="P227" s="36">
        <f>P228+P229</f>
        <v>0</v>
      </c>
      <c r="Q227" s="267">
        <f>P227/G227*100</f>
        <v>0</v>
      </c>
      <c r="R227" s="1414">
        <f>+P227-L227*0.25</f>
        <v>-285075.25</v>
      </c>
      <c r="S227" s="3264"/>
      <c r="T227" s="270"/>
      <c r="U227" s="239"/>
      <c r="V227" s="239"/>
      <c r="W227" s="239"/>
      <c r="X227" s="239"/>
      <c r="Y227" s="239"/>
      <c r="Z227" s="239"/>
      <c r="AA227" s="239"/>
      <c r="AB227" s="239"/>
      <c r="AC227" s="239"/>
      <c r="AD227" s="239"/>
      <c r="AE227" s="239"/>
      <c r="AF227" s="239"/>
      <c r="AG227" s="239"/>
      <c r="AH227" s="239"/>
      <c r="AI227" s="239"/>
      <c r="AJ227" s="239"/>
      <c r="AK227" s="239"/>
      <c r="AL227" s="239"/>
      <c r="AM227" s="239"/>
      <c r="AN227" s="239"/>
      <c r="AO227" s="239"/>
      <c r="AP227" s="239"/>
      <c r="AQ227" s="239"/>
      <c r="AR227" s="239"/>
      <c r="AS227" s="239"/>
      <c r="AT227" s="239"/>
      <c r="AU227" s="239"/>
      <c r="AV227" s="239"/>
      <c r="AW227" s="239"/>
      <c r="AX227" s="239"/>
      <c r="AY227" s="239"/>
      <c r="AZ227" s="239"/>
      <c r="BA227" s="239"/>
      <c r="BB227" s="239"/>
      <c r="BC227" s="239"/>
      <c r="BD227" s="239"/>
      <c r="BE227" s="239"/>
      <c r="BF227" s="239"/>
      <c r="BG227" s="239"/>
      <c r="BH227" s="239"/>
      <c r="BI227" s="239"/>
      <c r="BJ227" s="239"/>
      <c r="BK227" s="239"/>
      <c r="BL227" s="239"/>
      <c r="BM227" s="239"/>
      <c r="BN227" s="239"/>
      <c r="BO227" s="239"/>
      <c r="BP227" s="239"/>
      <c r="BQ227" s="239"/>
      <c r="BR227" s="239"/>
      <c r="BS227" s="239"/>
    </row>
    <row r="228" spans="1:71" ht="14.25" customHeight="1" thickTop="1" x14ac:dyDescent="0.2">
      <c r="A228" s="1959"/>
      <c r="B228" s="273" t="s">
        <v>221</v>
      </c>
      <c r="C228" s="1960"/>
      <c r="D228" s="2402">
        <v>0</v>
      </c>
      <c r="E228" s="1847">
        <v>0</v>
      </c>
      <c r="F228" s="1847">
        <v>0</v>
      </c>
      <c r="G228" s="1847">
        <v>0</v>
      </c>
      <c r="H228" s="277">
        <v>0</v>
      </c>
      <c r="I228" s="2402">
        <v>0</v>
      </c>
      <c r="J228" s="1847">
        <v>0</v>
      </c>
      <c r="K228" s="1847">
        <v>0</v>
      </c>
      <c r="L228" s="1847">
        <v>0</v>
      </c>
      <c r="M228" s="1847">
        <v>0</v>
      </c>
      <c r="N228" s="275">
        <v>0</v>
      </c>
      <c r="O228" s="2403">
        <v>0</v>
      </c>
      <c r="P228" s="1847">
        <v>0</v>
      </c>
      <c r="Q228" s="2403">
        <v>0</v>
      </c>
      <c r="R228" s="2404">
        <f>+P228-L228*0.25</f>
        <v>0</v>
      </c>
      <c r="S228" s="3265"/>
      <c r="T228" s="270"/>
      <c r="U228" s="239"/>
      <c r="V228" s="239"/>
      <c r="W228" s="239"/>
      <c r="X228" s="239"/>
      <c r="Y228" s="239"/>
      <c r="Z228" s="239"/>
      <c r="AA228" s="239"/>
      <c r="AB228" s="239"/>
      <c r="AC228" s="239"/>
      <c r="AD228" s="239"/>
      <c r="AE228" s="239"/>
      <c r="AF228" s="239"/>
      <c r="AG228" s="239"/>
      <c r="AH228" s="239"/>
      <c r="AI228" s="239"/>
      <c r="AJ228" s="239"/>
      <c r="AK228" s="239"/>
      <c r="AL228" s="239"/>
      <c r="AM228" s="239"/>
      <c r="AN228" s="239"/>
      <c r="AO228" s="239"/>
      <c r="AP228" s="239"/>
      <c r="AQ228" s="239"/>
      <c r="AR228" s="239"/>
      <c r="AS228" s="239"/>
      <c r="AT228" s="239"/>
      <c r="AU228" s="239"/>
      <c r="AV228" s="239"/>
      <c r="AW228" s="239"/>
      <c r="AX228" s="239"/>
      <c r="AY228" s="239"/>
      <c r="AZ228" s="239"/>
      <c r="BA228" s="239"/>
      <c r="BB228" s="239"/>
      <c r="BC228" s="239"/>
      <c r="BD228" s="239"/>
      <c r="BE228" s="239"/>
      <c r="BF228" s="239"/>
      <c r="BG228" s="239"/>
      <c r="BH228" s="239"/>
      <c r="BI228" s="239"/>
      <c r="BJ228" s="239"/>
      <c r="BK228" s="239"/>
      <c r="BL228" s="239"/>
      <c r="BM228" s="239"/>
      <c r="BN228" s="239"/>
      <c r="BO228" s="239"/>
      <c r="BP228" s="239"/>
      <c r="BQ228" s="239"/>
      <c r="BR228" s="239"/>
      <c r="BS228" s="239"/>
    </row>
    <row r="229" spans="1:71" ht="14.25" customHeight="1" thickBot="1" x14ac:dyDescent="0.25">
      <c r="A229" s="1959"/>
      <c r="B229" s="2405" t="s">
        <v>222</v>
      </c>
      <c r="C229" s="2406"/>
      <c r="D229" s="287">
        <f>D240+D247</f>
        <v>14938616</v>
      </c>
      <c r="E229" s="286">
        <f t="shared" ref="E229:H229" si="160">E240+E247</f>
        <v>10018546</v>
      </c>
      <c r="F229" s="285">
        <f t="shared" si="160"/>
        <v>3779769</v>
      </c>
      <c r="G229" s="286">
        <f t="shared" si="160"/>
        <v>1140301</v>
      </c>
      <c r="H229" s="2407">
        <f t="shared" si="160"/>
        <v>0</v>
      </c>
      <c r="I229" s="287">
        <f>I240+I247</f>
        <v>14938616</v>
      </c>
      <c r="J229" s="286">
        <f t="shared" ref="J229:P229" si="161">J240+J247</f>
        <v>10018546</v>
      </c>
      <c r="K229" s="285">
        <f t="shared" si="161"/>
        <v>3779769</v>
      </c>
      <c r="L229" s="286">
        <f t="shared" si="161"/>
        <v>1140301</v>
      </c>
      <c r="M229" s="286">
        <f t="shared" si="161"/>
        <v>0</v>
      </c>
      <c r="N229" s="285">
        <f t="shared" si="161"/>
        <v>13798315</v>
      </c>
      <c r="O229" s="162">
        <f t="shared" ref="O229:O254" si="162">N229/D229*100</f>
        <v>92.366756063613934</v>
      </c>
      <c r="P229" s="287">
        <f t="shared" si="161"/>
        <v>0</v>
      </c>
      <c r="Q229" s="162">
        <f t="shared" ref="Q229:Q253" si="163">P229/G229*100</f>
        <v>0</v>
      </c>
      <c r="R229" s="2408">
        <f>+P229-L229*0.25</f>
        <v>-285075.25</v>
      </c>
      <c r="S229" s="3265"/>
      <c r="T229" s="270"/>
      <c r="U229" s="239"/>
      <c r="V229" s="239"/>
      <c r="W229" s="239"/>
      <c r="X229" s="239"/>
      <c r="Y229" s="239"/>
      <c r="Z229" s="239"/>
      <c r="AA229" s="239"/>
      <c r="AB229" s="239"/>
      <c r="AC229" s="239"/>
      <c r="AD229" s="239"/>
      <c r="AE229" s="239"/>
      <c r="AF229" s="239"/>
      <c r="AG229" s="239"/>
      <c r="AH229" s="239"/>
      <c r="AI229" s="239"/>
      <c r="AJ229" s="239"/>
      <c r="AK229" s="239"/>
      <c r="AL229" s="239"/>
      <c r="AM229" s="239"/>
      <c r="AN229" s="239"/>
      <c r="AO229" s="239"/>
      <c r="AP229" s="239"/>
      <c r="AQ229" s="239"/>
      <c r="AR229" s="239"/>
      <c r="AS229" s="239"/>
      <c r="AT229" s="239"/>
      <c r="AU229" s="239"/>
      <c r="AV229" s="239"/>
      <c r="AW229" s="239"/>
      <c r="AX229" s="239"/>
      <c r="AY229" s="239"/>
      <c r="AZ229" s="239"/>
      <c r="BA229" s="239"/>
      <c r="BB229" s="239"/>
      <c r="BC229" s="239"/>
      <c r="BD229" s="239"/>
      <c r="BE229" s="239"/>
      <c r="BF229" s="239"/>
      <c r="BG229" s="239"/>
      <c r="BH229" s="239"/>
      <c r="BI229" s="239"/>
      <c r="BJ229" s="239"/>
      <c r="BK229" s="239"/>
      <c r="BL229" s="239"/>
      <c r="BM229" s="239"/>
      <c r="BN229" s="239"/>
      <c r="BO229" s="239"/>
      <c r="BP229" s="239"/>
      <c r="BQ229" s="239"/>
      <c r="BR229" s="239"/>
      <c r="BS229" s="239"/>
    </row>
    <row r="230" spans="1:71" s="2114" customFormat="1" ht="14.25" customHeight="1" x14ac:dyDescent="0.2">
      <c r="A230" s="3204"/>
      <c r="B230" s="292" t="s">
        <v>3</v>
      </c>
      <c r="C230" s="2409"/>
      <c r="D230" s="2410">
        <f t="shared" ref="D230:H230" si="164">+D231</f>
        <v>14938616</v>
      </c>
      <c r="E230" s="2411">
        <f t="shared" si="164"/>
        <v>10018546</v>
      </c>
      <c r="F230" s="2411">
        <f t="shared" si="164"/>
        <v>3779769</v>
      </c>
      <c r="G230" s="2411">
        <f t="shared" si="164"/>
        <v>1140301</v>
      </c>
      <c r="H230" s="2412">
        <f t="shared" si="164"/>
        <v>0</v>
      </c>
      <c r="I230" s="2410">
        <f t="shared" ref="I230:N230" si="165">+I231</f>
        <v>14938616</v>
      </c>
      <c r="J230" s="2411">
        <f t="shared" si="165"/>
        <v>10018546</v>
      </c>
      <c r="K230" s="2411">
        <f t="shared" si="165"/>
        <v>3779769</v>
      </c>
      <c r="L230" s="2411">
        <f t="shared" si="165"/>
        <v>1140301</v>
      </c>
      <c r="M230" s="2411">
        <f t="shared" si="165"/>
        <v>0</v>
      </c>
      <c r="N230" s="2413">
        <f t="shared" si="165"/>
        <v>13798315</v>
      </c>
      <c r="O230" s="2414">
        <f t="shared" si="162"/>
        <v>92.366756063613934</v>
      </c>
      <c r="P230" s="2413">
        <f>+P231</f>
        <v>0</v>
      </c>
      <c r="Q230" s="2414">
        <f t="shared" si="163"/>
        <v>0</v>
      </c>
      <c r="R230" s="2415">
        <f>+P230-L230*0.25</f>
        <v>-285075.25</v>
      </c>
      <c r="S230" s="3265"/>
      <c r="T230" s="2111">
        <f>J230+K230+P230-N230</f>
        <v>0</v>
      </c>
      <c r="U230" s="2112" t="e">
        <f>+#REF!+#REF!+N247+N261+N328+N342+#REF!+N306</f>
        <v>#REF!</v>
      </c>
      <c r="V230" s="2112"/>
      <c r="W230" s="2112" t="e">
        <f>+#REF!+#REF!+P247+P261+P328+P342+#REF!+P306+#REF!</f>
        <v>#REF!</v>
      </c>
      <c r="X230" s="2113"/>
      <c r="Y230" s="2113"/>
      <c r="Z230" s="2113"/>
      <c r="AA230" s="2113"/>
      <c r="AB230" s="2113"/>
      <c r="AC230" s="2113"/>
      <c r="AD230" s="2113"/>
      <c r="AE230" s="2113"/>
      <c r="AF230" s="2113"/>
      <c r="AG230" s="2113"/>
      <c r="AH230" s="2113"/>
      <c r="AI230" s="2113"/>
      <c r="AJ230" s="2113"/>
      <c r="AK230" s="2113"/>
      <c r="AL230" s="2113"/>
      <c r="AM230" s="2113"/>
      <c r="AN230" s="2113"/>
      <c r="AO230" s="2113"/>
      <c r="AP230" s="2113"/>
      <c r="AQ230" s="2113"/>
      <c r="AR230" s="2113"/>
      <c r="AS230" s="2113"/>
      <c r="AT230" s="2113"/>
      <c r="AU230" s="2113"/>
      <c r="AV230" s="2113"/>
      <c r="AW230" s="2113"/>
      <c r="AX230" s="2113"/>
      <c r="AY230" s="2113"/>
      <c r="AZ230" s="2113"/>
      <c r="BA230" s="2113"/>
      <c r="BB230" s="2113"/>
      <c r="BC230" s="2113"/>
      <c r="BD230" s="2113"/>
      <c r="BE230" s="2113"/>
      <c r="BF230" s="2113"/>
      <c r="BG230" s="2113"/>
      <c r="BH230" s="2113"/>
      <c r="BI230" s="2113"/>
      <c r="BJ230" s="2113"/>
      <c r="BK230" s="2113"/>
      <c r="BL230" s="2113"/>
      <c r="BM230" s="2113"/>
      <c r="BN230" s="2113"/>
      <c r="BO230" s="2113"/>
      <c r="BP230" s="2113"/>
      <c r="BQ230" s="2113"/>
      <c r="BR230" s="2113"/>
      <c r="BS230" s="2113"/>
    </row>
    <row r="231" spans="1:71" s="252" customFormat="1" ht="13.5" customHeight="1" x14ac:dyDescent="0.2">
      <c r="A231" s="3064"/>
      <c r="B231" s="2146" t="s">
        <v>4</v>
      </c>
      <c r="C231" s="3206"/>
      <c r="D231" s="583">
        <f t="shared" ref="D231:H231" si="166">SUM(D232:D234)</f>
        <v>14938616</v>
      </c>
      <c r="E231" s="584">
        <f t="shared" si="166"/>
        <v>10018546</v>
      </c>
      <c r="F231" s="584">
        <f t="shared" si="166"/>
        <v>3779769</v>
      </c>
      <c r="G231" s="584">
        <f t="shared" si="166"/>
        <v>1140301</v>
      </c>
      <c r="H231" s="2416">
        <f t="shared" si="166"/>
        <v>0</v>
      </c>
      <c r="I231" s="583">
        <f t="shared" ref="I231:N231" si="167">SUM(I232:I234)</f>
        <v>14938616</v>
      </c>
      <c r="J231" s="584">
        <f t="shared" si="167"/>
        <v>10018546</v>
      </c>
      <c r="K231" s="584">
        <f t="shared" si="167"/>
        <v>3779769</v>
      </c>
      <c r="L231" s="584">
        <f t="shared" si="167"/>
        <v>1140301</v>
      </c>
      <c r="M231" s="2417">
        <f t="shared" si="167"/>
        <v>0</v>
      </c>
      <c r="N231" s="2147">
        <f t="shared" si="167"/>
        <v>13798315</v>
      </c>
      <c r="O231" s="581">
        <f t="shared" si="162"/>
        <v>92.366756063613934</v>
      </c>
      <c r="P231" s="2147">
        <f>SUM(P232:P234)</f>
        <v>0</v>
      </c>
      <c r="Q231" s="581">
        <f t="shared" si="163"/>
        <v>0</v>
      </c>
      <c r="R231" s="2418">
        <f t="shared" ref="R231:R254" si="168">+P231-L231*0.25</f>
        <v>-285075.25</v>
      </c>
      <c r="S231" s="3265"/>
      <c r="T231" s="2111">
        <f t="shared" ref="T231:T254" si="169">J231+K231+P231-N231</f>
        <v>0</v>
      </c>
      <c r="V231" s="492"/>
    </row>
    <row r="232" spans="1:71" s="252" customFormat="1" ht="12" hidden="1" customHeight="1" x14ac:dyDescent="0.2">
      <c r="A232" s="3064"/>
      <c r="B232" s="550" t="s">
        <v>5</v>
      </c>
      <c r="C232" s="2964"/>
      <c r="D232" s="2183"/>
      <c r="E232" s="561"/>
      <c r="F232" s="561"/>
      <c r="G232" s="561"/>
      <c r="H232" s="562"/>
      <c r="I232" s="2183"/>
      <c r="J232" s="561"/>
      <c r="K232" s="561"/>
      <c r="L232" s="561"/>
      <c r="M232" s="561"/>
      <c r="N232" s="558"/>
      <c r="O232" s="2419" t="e">
        <f t="shared" si="162"/>
        <v>#DIV/0!</v>
      </c>
      <c r="P232" s="558"/>
      <c r="Q232" s="2419" t="e">
        <f t="shared" si="163"/>
        <v>#DIV/0!</v>
      </c>
      <c r="R232" s="2420">
        <f t="shared" si="168"/>
        <v>0</v>
      </c>
      <c r="S232" s="3265"/>
      <c r="T232" s="2111">
        <f t="shared" si="169"/>
        <v>0</v>
      </c>
      <c r="U232" s="2247"/>
    </row>
    <row r="233" spans="1:71" s="252" customFormat="1" ht="12.95" customHeight="1" outlineLevel="1" x14ac:dyDescent="0.2">
      <c r="A233" s="3064"/>
      <c r="B233" s="550" t="s">
        <v>9</v>
      </c>
      <c r="C233" s="2964"/>
      <c r="D233" s="583">
        <f t="shared" ref="D233:H233" si="170">D250</f>
        <v>674361</v>
      </c>
      <c r="E233" s="584">
        <f t="shared" si="170"/>
        <v>0</v>
      </c>
      <c r="F233" s="584">
        <f t="shared" si="170"/>
        <v>461134</v>
      </c>
      <c r="G233" s="584">
        <f t="shared" si="170"/>
        <v>213227</v>
      </c>
      <c r="H233" s="562">
        <f t="shared" si="170"/>
        <v>0</v>
      </c>
      <c r="I233" s="583">
        <f t="shared" ref="I233:N233" si="171">I250</f>
        <v>674361</v>
      </c>
      <c r="J233" s="584">
        <f t="shared" si="171"/>
        <v>0</v>
      </c>
      <c r="K233" s="584">
        <f t="shared" si="171"/>
        <v>461134</v>
      </c>
      <c r="L233" s="584">
        <f t="shared" si="171"/>
        <v>213227</v>
      </c>
      <c r="M233" s="584">
        <f t="shared" si="171"/>
        <v>0</v>
      </c>
      <c r="N233" s="587">
        <f t="shared" si="171"/>
        <v>461134</v>
      </c>
      <c r="O233" s="2421">
        <f t="shared" si="162"/>
        <v>68.380882049821977</v>
      </c>
      <c r="P233" s="584">
        <f t="shared" ref="P233" si="172">P250</f>
        <v>0</v>
      </c>
      <c r="Q233" s="2421">
        <f t="shared" si="163"/>
        <v>0</v>
      </c>
      <c r="R233" s="2418">
        <f t="shared" si="168"/>
        <v>-53306.75</v>
      </c>
      <c r="S233" s="3265"/>
      <c r="T233" s="2111">
        <f t="shared" si="169"/>
        <v>0</v>
      </c>
      <c r="U233" s="2247"/>
    </row>
    <row r="234" spans="1:71" s="252" customFormat="1" ht="12.75" outlineLevel="1" x14ac:dyDescent="0.2">
      <c r="A234" s="3064"/>
      <c r="B234" s="2422" t="s">
        <v>37</v>
      </c>
      <c r="C234" s="2964"/>
      <c r="D234" s="583">
        <f t="shared" ref="D234:H234" si="173">D242+D249</f>
        <v>14264255</v>
      </c>
      <c r="E234" s="584">
        <f t="shared" si="173"/>
        <v>10018546</v>
      </c>
      <c r="F234" s="584">
        <f t="shared" si="173"/>
        <v>3318635</v>
      </c>
      <c r="G234" s="584">
        <f t="shared" si="173"/>
        <v>927074</v>
      </c>
      <c r="H234" s="562">
        <f t="shared" si="173"/>
        <v>0</v>
      </c>
      <c r="I234" s="583">
        <f t="shared" ref="I234:N234" si="174">I242+I249</f>
        <v>14264255</v>
      </c>
      <c r="J234" s="584">
        <f t="shared" si="174"/>
        <v>10018546</v>
      </c>
      <c r="K234" s="584">
        <f t="shared" si="174"/>
        <v>3318635</v>
      </c>
      <c r="L234" s="584">
        <f t="shared" si="174"/>
        <v>927074</v>
      </c>
      <c r="M234" s="584">
        <f t="shared" si="174"/>
        <v>0</v>
      </c>
      <c r="N234" s="587">
        <f t="shared" si="174"/>
        <v>13337181</v>
      </c>
      <c r="O234" s="555">
        <f t="shared" si="162"/>
        <v>93.500719105203871</v>
      </c>
      <c r="P234" s="584">
        <f t="shared" ref="P234" si="175">P242+P249</f>
        <v>0</v>
      </c>
      <c r="Q234" s="555">
        <f t="shared" si="163"/>
        <v>0</v>
      </c>
      <c r="R234" s="2418">
        <f t="shared" si="168"/>
        <v>-231768.5</v>
      </c>
      <c r="S234" s="3265"/>
      <c r="T234" s="2111">
        <f t="shared" si="169"/>
        <v>0</v>
      </c>
      <c r="U234" s="2247"/>
    </row>
    <row r="235" spans="1:71" s="252" customFormat="1" ht="14.25" customHeight="1" outlineLevel="1" x14ac:dyDescent="0.2">
      <c r="A235" s="3064"/>
      <c r="B235" s="683" t="s">
        <v>17</v>
      </c>
      <c r="C235" s="2137"/>
      <c r="D235" s="685">
        <f>D236</f>
        <v>14938617</v>
      </c>
      <c r="E235" s="753">
        <f t="shared" ref="E235:H235" si="176">E236</f>
        <v>10018546</v>
      </c>
      <c r="F235" s="753">
        <f t="shared" si="176"/>
        <v>3779770</v>
      </c>
      <c r="G235" s="753">
        <f t="shared" si="176"/>
        <v>1140301</v>
      </c>
      <c r="H235" s="687">
        <f t="shared" si="176"/>
        <v>0</v>
      </c>
      <c r="I235" s="685">
        <f>I236</f>
        <v>14938617</v>
      </c>
      <c r="J235" s="753">
        <f t="shared" ref="J235:P235" si="177">J236</f>
        <v>10018546</v>
      </c>
      <c r="K235" s="753">
        <f t="shared" si="177"/>
        <v>3779770</v>
      </c>
      <c r="L235" s="753">
        <f t="shared" si="177"/>
        <v>1140301</v>
      </c>
      <c r="M235" s="753">
        <f t="shared" si="177"/>
        <v>0</v>
      </c>
      <c r="N235" s="686">
        <f t="shared" si="177"/>
        <v>13798316</v>
      </c>
      <c r="O235" s="712">
        <f t="shared" si="162"/>
        <v>92.366756574587868</v>
      </c>
      <c r="P235" s="686">
        <f t="shared" si="177"/>
        <v>0</v>
      </c>
      <c r="Q235" s="712">
        <f t="shared" si="163"/>
        <v>0</v>
      </c>
      <c r="R235" s="2174">
        <f t="shared" si="168"/>
        <v>-285075.25</v>
      </c>
      <c r="S235" s="3265"/>
      <c r="T235" s="2111">
        <f t="shared" si="169"/>
        <v>0</v>
      </c>
      <c r="U235" s="2145" t="e">
        <f>+#REF!+N239+N253+N267+N334+#REF!+N311</f>
        <v>#REF!</v>
      </c>
      <c r="W235" s="2145" t="e">
        <f>+#REF!+P239+P253+P267+P334+#REF!+P311+#REF!</f>
        <v>#REF!</v>
      </c>
    </row>
    <row r="236" spans="1:71" s="252" customFormat="1" ht="12.75" customHeight="1" outlineLevel="1" x14ac:dyDescent="0.2">
      <c r="A236" s="3064"/>
      <c r="B236" s="2146" t="s">
        <v>4</v>
      </c>
      <c r="C236" s="3206"/>
      <c r="D236" s="2423">
        <f t="shared" ref="D236:H236" si="178">SUM(D237:D238)</f>
        <v>14938617</v>
      </c>
      <c r="E236" s="2424">
        <f t="shared" si="178"/>
        <v>10018546</v>
      </c>
      <c r="F236" s="2424">
        <f t="shared" si="178"/>
        <v>3779770</v>
      </c>
      <c r="G236" s="2424">
        <f t="shared" si="178"/>
        <v>1140301</v>
      </c>
      <c r="H236" s="2425">
        <f t="shared" si="178"/>
        <v>0</v>
      </c>
      <c r="I236" s="2423">
        <f t="shared" ref="I236:N236" si="179">SUM(I237:I238)</f>
        <v>14938617</v>
      </c>
      <c r="J236" s="2424">
        <f t="shared" si="179"/>
        <v>10018546</v>
      </c>
      <c r="K236" s="2424">
        <f t="shared" si="179"/>
        <v>3779770</v>
      </c>
      <c r="L236" s="2424">
        <f t="shared" si="179"/>
        <v>1140301</v>
      </c>
      <c r="M236" s="2424">
        <f t="shared" si="179"/>
        <v>0</v>
      </c>
      <c r="N236" s="2130">
        <f t="shared" si="179"/>
        <v>13798316</v>
      </c>
      <c r="O236" s="581">
        <f t="shared" si="162"/>
        <v>92.366756574587868</v>
      </c>
      <c r="P236" s="2147">
        <f>SUM(P237:P238)</f>
        <v>0</v>
      </c>
      <c r="Q236" s="581">
        <f t="shared" si="163"/>
        <v>0</v>
      </c>
      <c r="R236" s="2418">
        <f t="shared" si="168"/>
        <v>-285075.25</v>
      </c>
      <c r="S236" s="3265"/>
      <c r="T236" s="2111">
        <f t="shared" si="169"/>
        <v>0</v>
      </c>
      <c r="U236" s="2145" t="e">
        <f>+U235-N235</f>
        <v>#REF!</v>
      </c>
      <c r="W236" s="2145" t="e">
        <f>+W235-P235</f>
        <v>#REF!</v>
      </c>
    </row>
    <row r="237" spans="1:71" s="252" customFormat="1" ht="12.95" customHeight="1" outlineLevel="1" x14ac:dyDescent="0.2">
      <c r="A237" s="3064"/>
      <c r="B237" s="550" t="s">
        <v>9</v>
      </c>
      <c r="C237" s="2964"/>
      <c r="D237" s="2423">
        <f t="shared" ref="D237:H237" si="180">D254</f>
        <v>674361</v>
      </c>
      <c r="E237" s="2424">
        <f t="shared" si="180"/>
        <v>0</v>
      </c>
      <c r="F237" s="2424">
        <f t="shared" si="180"/>
        <v>461134</v>
      </c>
      <c r="G237" s="2424">
        <f t="shared" si="180"/>
        <v>213227</v>
      </c>
      <c r="H237" s="2425">
        <f t="shared" si="180"/>
        <v>0</v>
      </c>
      <c r="I237" s="2423">
        <f t="shared" ref="I237:N237" si="181">I254</f>
        <v>674361</v>
      </c>
      <c r="J237" s="2424">
        <f t="shared" si="181"/>
        <v>0</v>
      </c>
      <c r="K237" s="2424">
        <f t="shared" si="181"/>
        <v>461134</v>
      </c>
      <c r="L237" s="2424">
        <f t="shared" si="181"/>
        <v>213227</v>
      </c>
      <c r="M237" s="2424">
        <f t="shared" si="181"/>
        <v>0</v>
      </c>
      <c r="N237" s="2426">
        <f t="shared" si="181"/>
        <v>461134</v>
      </c>
      <c r="O237" s="2421">
        <f t="shared" si="162"/>
        <v>68.380882049821977</v>
      </c>
      <c r="P237" s="2424">
        <f t="shared" ref="P237" si="182">P254</f>
        <v>0</v>
      </c>
      <c r="Q237" s="2421">
        <f t="shared" si="163"/>
        <v>0</v>
      </c>
      <c r="R237" s="2418">
        <f t="shared" si="168"/>
        <v>-53306.75</v>
      </c>
      <c r="S237" s="3265"/>
      <c r="T237" s="2111">
        <f t="shared" si="169"/>
        <v>0</v>
      </c>
    </row>
    <row r="238" spans="1:71" s="252" customFormat="1" ht="12.95" customHeight="1" outlineLevel="1" thickBot="1" x14ac:dyDescent="0.25">
      <c r="A238" s="3065"/>
      <c r="B238" s="2427" t="s">
        <v>37</v>
      </c>
      <c r="C238" s="2965"/>
      <c r="D238" s="2428">
        <f t="shared" ref="D238:H238" si="183">D245+D253</f>
        <v>14264256</v>
      </c>
      <c r="E238" s="2429">
        <f t="shared" si="183"/>
        <v>10018546</v>
      </c>
      <c r="F238" s="2429">
        <f t="shared" si="183"/>
        <v>3318636</v>
      </c>
      <c r="G238" s="2429">
        <f t="shared" si="183"/>
        <v>927074</v>
      </c>
      <c r="H238" s="2430">
        <f t="shared" si="183"/>
        <v>0</v>
      </c>
      <c r="I238" s="2428">
        <f t="shared" ref="I238:N238" si="184">I245+I253</f>
        <v>14264256</v>
      </c>
      <c r="J238" s="2429">
        <f t="shared" si="184"/>
        <v>10018546</v>
      </c>
      <c r="K238" s="2429">
        <f t="shared" si="184"/>
        <v>3318636</v>
      </c>
      <c r="L238" s="2429">
        <f t="shared" si="184"/>
        <v>927074</v>
      </c>
      <c r="M238" s="2429">
        <f t="shared" si="184"/>
        <v>0</v>
      </c>
      <c r="N238" s="2431">
        <f t="shared" si="184"/>
        <v>13337182</v>
      </c>
      <c r="O238" s="2421">
        <f t="shared" si="162"/>
        <v>93.500719560837936</v>
      </c>
      <c r="P238" s="2429">
        <f t="shared" ref="P238" si="185">P245+P253</f>
        <v>0</v>
      </c>
      <c r="Q238" s="2421">
        <f t="shared" si="163"/>
        <v>0</v>
      </c>
      <c r="R238" s="2432">
        <f t="shared" si="168"/>
        <v>-231768.5</v>
      </c>
      <c r="S238" s="3266"/>
      <c r="T238" s="2111">
        <f t="shared" si="169"/>
        <v>0</v>
      </c>
    </row>
    <row r="239" spans="1:71" ht="57.75" customHeight="1" x14ac:dyDescent="0.2">
      <c r="A239" s="3258" t="s">
        <v>40</v>
      </c>
      <c r="B239" s="2160" t="s">
        <v>257</v>
      </c>
      <c r="C239" s="2433" t="s">
        <v>225</v>
      </c>
      <c r="D239" s="2162"/>
      <c r="E239" s="2163"/>
      <c r="F239" s="2163"/>
      <c r="G239" s="2163"/>
      <c r="H239" s="2434"/>
      <c r="I239" s="2162"/>
      <c r="J239" s="2163"/>
      <c r="K239" s="2163"/>
      <c r="L239" s="2163"/>
      <c r="M239" s="2435"/>
      <c r="N239" s="2244"/>
      <c r="O239" s="2243"/>
      <c r="P239" s="2244"/>
      <c r="Q239" s="2243"/>
      <c r="R239" s="2168"/>
      <c r="S239" s="3261" t="s">
        <v>258</v>
      </c>
      <c r="T239" s="2111">
        <f t="shared" si="169"/>
        <v>0</v>
      </c>
    </row>
    <row r="240" spans="1:71" ht="15" customHeight="1" x14ac:dyDescent="0.2">
      <c r="A240" s="3259"/>
      <c r="B240" s="2436" t="s">
        <v>3</v>
      </c>
      <c r="C240" s="2174"/>
      <c r="D240" s="711">
        <f t="shared" ref="D240:H240" si="186">+D242</f>
        <v>11332254</v>
      </c>
      <c r="E240" s="686">
        <f t="shared" si="186"/>
        <v>10018546</v>
      </c>
      <c r="F240" s="686">
        <f t="shared" si="186"/>
        <v>1313708</v>
      </c>
      <c r="G240" s="738">
        <f t="shared" si="186"/>
        <v>0</v>
      </c>
      <c r="H240" s="2437">
        <f t="shared" si="186"/>
        <v>0</v>
      </c>
      <c r="I240" s="711">
        <f t="shared" ref="I240:M240" si="187">+I242</f>
        <v>11332254</v>
      </c>
      <c r="J240" s="686">
        <f t="shared" si="187"/>
        <v>10018546</v>
      </c>
      <c r="K240" s="686">
        <f t="shared" si="187"/>
        <v>1313708</v>
      </c>
      <c r="L240" s="686">
        <f t="shared" si="187"/>
        <v>0</v>
      </c>
      <c r="M240" s="2438">
        <f t="shared" si="187"/>
        <v>0</v>
      </c>
      <c r="N240" s="686">
        <f>N241</f>
        <v>11332254</v>
      </c>
      <c r="O240" s="712">
        <f t="shared" si="162"/>
        <v>100</v>
      </c>
      <c r="P240" s="738">
        <f>+P242</f>
        <v>0</v>
      </c>
      <c r="Q240" s="738">
        <v>0</v>
      </c>
      <c r="R240" s="2439">
        <f t="shared" si="168"/>
        <v>0</v>
      </c>
      <c r="S240" s="3262"/>
      <c r="T240" s="2111">
        <f t="shared" si="169"/>
        <v>0</v>
      </c>
    </row>
    <row r="241" spans="1:20" ht="15" customHeight="1" x14ac:dyDescent="0.2">
      <c r="A241" s="3259"/>
      <c r="B241" s="2440" t="s">
        <v>4</v>
      </c>
      <c r="C241" s="3224" t="s">
        <v>244</v>
      </c>
      <c r="D241" s="837">
        <f t="shared" ref="D241:M241" si="188">+D242</f>
        <v>11332254</v>
      </c>
      <c r="E241" s="839">
        <f t="shared" si="188"/>
        <v>10018546</v>
      </c>
      <c r="F241" s="839">
        <f t="shared" si="188"/>
        <v>1313708</v>
      </c>
      <c r="G241" s="2219">
        <f t="shared" si="188"/>
        <v>0</v>
      </c>
      <c r="H241" s="2441">
        <f t="shared" si="188"/>
        <v>0</v>
      </c>
      <c r="I241" s="837">
        <f t="shared" si="188"/>
        <v>11332254</v>
      </c>
      <c r="J241" s="839">
        <f t="shared" si="188"/>
        <v>10018546</v>
      </c>
      <c r="K241" s="2237">
        <f t="shared" si="188"/>
        <v>1313708</v>
      </c>
      <c r="L241" s="839">
        <f t="shared" si="188"/>
        <v>0</v>
      </c>
      <c r="M241" s="2442">
        <f t="shared" si="188"/>
        <v>0</v>
      </c>
      <c r="N241" s="839">
        <f>N242</f>
        <v>11332254</v>
      </c>
      <c r="O241" s="2180">
        <f t="shared" si="162"/>
        <v>100</v>
      </c>
      <c r="P241" s="2219">
        <f>+P242</f>
        <v>0</v>
      </c>
      <c r="Q241" s="2220">
        <v>0</v>
      </c>
      <c r="R241" s="2181">
        <f t="shared" si="168"/>
        <v>0</v>
      </c>
      <c r="S241" s="3262"/>
      <c r="T241" s="2111">
        <f t="shared" si="169"/>
        <v>0</v>
      </c>
    </row>
    <row r="242" spans="1:20" ht="15" customHeight="1" x14ac:dyDescent="0.2">
      <c r="A242" s="3259"/>
      <c r="B242" s="2443" t="s">
        <v>37</v>
      </c>
      <c r="C242" s="3255"/>
      <c r="D242" s="701">
        <f>+E242+F242+G242+H242</f>
        <v>11332254</v>
      </c>
      <c r="E242" s="699">
        <f>15000000-10012199+5030745</f>
        <v>10018546</v>
      </c>
      <c r="F242" s="699">
        <v>1313708</v>
      </c>
      <c r="G242" s="698">
        <v>0</v>
      </c>
      <c r="H242" s="807">
        <v>0</v>
      </c>
      <c r="I242" s="701">
        <f>+J242+K242+L242+M242</f>
        <v>11332254</v>
      </c>
      <c r="J242" s="699">
        <f>15000000-10012199+5030745</f>
        <v>10018546</v>
      </c>
      <c r="K242" s="699">
        <v>1313708</v>
      </c>
      <c r="L242" s="699">
        <v>0</v>
      </c>
      <c r="M242" s="2444">
        <v>0</v>
      </c>
      <c r="N242" s="699">
        <f>K242+P242+J242</f>
        <v>11332254</v>
      </c>
      <c r="O242" s="2187">
        <f t="shared" si="162"/>
        <v>100</v>
      </c>
      <c r="P242" s="698">
        <v>0</v>
      </c>
      <c r="Q242" s="1352">
        <v>0</v>
      </c>
      <c r="R242" s="2188">
        <f t="shared" si="168"/>
        <v>0</v>
      </c>
      <c r="S242" s="3262"/>
      <c r="T242" s="2111">
        <f t="shared" si="169"/>
        <v>0</v>
      </c>
    </row>
    <row r="243" spans="1:20" ht="15" customHeight="1" x14ac:dyDescent="0.2">
      <c r="A243" s="3259"/>
      <c r="B243" s="2436" t="s">
        <v>17</v>
      </c>
      <c r="C243" s="2174"/>
      <c r="D243" s="711">
        <f t="shared" ref="D243:M244" si="189">+D244</f>
        <v>11332255</v>
      </c>
      <c r="E243" s="686">
        <f t="shared" si="189"/>
        <v>10018546</v>
      </c>
      <c r="F243" s="686">
        <f t="shared" si="189"/>
        <v>1313709</v>
      </c>
      <c r="G243" s="738">
        <f t="shared" si="189"/>
        <v>0</v>
      </c>
      <c r="H243" s="2437">
        <f t="shared" si="189"/>
        <v>0</v>
      </c>
      <c r="I243" s="711">
        <f t="shared" si="189"/>
        <v>11332255</v>
      </c>
      <c r="J243" s="686">
        <f t="shared" si="189"/>
        <v>10018546</v>
      </c>
      <c r="K243" s="686">
        <f t="shared" si="189"/>
        <v>1313709</v>
      </c>
      <c r="L243" s="686">
        <f t="shared" si="189"/>
        <v>0</v>
      </c>
      <c r="M243" s="2438">
        <f t="shared" si="189"/>
        <v>0</v>
      </c>
      <c r="N243" s="686">
        <f>N244</f>
        <v>11332255</v>
      </c>
      <c r="O243" s="712">
        <f t="shared" si="162"/>
        <v>100</v>
      </c>
      <c r="P243" s="738">
        <f>+P244</f>
        <v>0</v>
      </c>
      <c r="Q243" s="738">
        <v>0</v>
      </c>
      <c r="R243" s="2439">
        <f t="shared" si="168"/>
        <v>0</v>
      </c>
      <c r="S243" s="3262"/>
      <c r="T243" s="2111">
        <f t="shared" si="169"/>
        <v>0</v>
      </c>
    </row>
    <row r="244" spans="1:20" ht="15" customHeight="1" x14ac:dyDescent="0.2">
      <c r="A244" s="3259"/>
      <c r="B244" s="2440" t="s">
        <v>4</v>
      </c>
      <c r="C244" s="3224" t="s">
        <v>244</v>
      </c>
      <c r="D244" s="837">
        <f t="shared" si="189"/>
        <v>11332255</v>
      </c>
      <c r="E244" s="839">
        <f t="shared" si="189"/>
        <v>10018546</v>
      </c>
      <c r="F244" s="839">
        <f t="shared" si="189"/>
        <v>1313709</v>
      </c>
      <c r="G244" s="2219">
        <f t="shared" si="189"/>
        <v>0</v>
      </c>
      <c r="H244" s="2441">
        <f t="shared" si="189"/>
        <v>0</v>
      </c>
      <c r="I244" s="837">
        <f t="shared" si="189"/>
        <v>11332255</v>
      </c>
      <c r="J244" s="839">
        <f t="shared" si="189"/>
        <v>10018546</v>
      </c>
      <c r="K244" s="2237">
        <f t="shared" si="189"/>
        <v>1313709</v>
      </c>
      <c r="L244" s="839">
        <f t="shared" si="189"/>
        <v>0</v>
      </c>
      <c r="M244" s="2442">
        <f t="shared" si="189"/>
        <v>0</v>
      </c>
      <c r="N244" s="839">
        <f>N245</f>
        <v>11332255</v>
      </c>
      <c r="O244" s="2180">
        <f t="shared" si="162"/>
        <v>100</v>
      </c>
      <c r="P244" s="2219">
        <f>+P245</f>
        <v>0</v>
      </c>
      <c r="Q244" s="2220">
        <v>0</v>
      </c>
      <c r="R244" s="2181">
        <f t="shared" si="168"/>
        <v>0</v>
      </c>
      <c r="S244" s="3262"/>
      <c r="T244" s="2111">
        <f t="shared" si="169"/>
        <v>0</v>
      </c>
    </row>
    <row r="245" spans="1:20" ht="15" customHeight="1" thickBot="1" x14ac:dyDescent="0.25">
      <c r="A245" s="3260"/>
      <c r="B245" s="2443" t="s">
        <v>37</v>
      </c>
      <c r="C245" s="3231"/>
      <c r="D245" s="701">
        <f>+E245+F245+G245+H245</f>
        <v>11332255</v>
      </c>
      <c r="E245" s="699">
        <f>15000000-10012199+5030745</f>
        <v>10018546</v>
      </c>
      <c r="F245" s="699">
        <v>1313709</v>
      </c>
      <c r="G245" s="698">
        <v>0</v>
      </c>
      <c r="H245" s="807">
        <v>0</v>
      </c>
      <c r="I245" s="701">
        <f>+J245+K245+L245+M245</f>
        <v>11332255</v>
      </c>
      <c r="J245" s="699">
        <f>15000000-10012199+5030745</f>
        <v>10018546</v>
      </c>
      <c r="K245" s="699">
        <v>1313709</v>
      </c>
      <c r="L245" s="699">
        <v>0</v>
      </c>
      <c r="M245" s="2444">
        <v>0</v>
      </c>
      <c r="N245" s="699">
        <f>K245+P245+J245</f>
        <v>11332255</v>
      </c>
      <c r="O245" s="2187">
        <f t="shared" si="162"/>
        <v>100</v>
      </c>
      <c r="P245" s="698">
        <v>0</v>
      </c>
      <c r="Q245" s="1352">
        <v>0</v>
      </c>
      <c r="R245" s="2188">
        <f t="shared" si="168"/>
        <v>0</v>
      </c>
      <c r="S245" s="3263"/>
      <c r="T245" s="2111">
        <f t="shared" si="169"/>
        <v>0</v>
      </c>
    </row>
    <row r="246" spans="1:20" ht="19.5" customHeight="1" x14ac:dyDescent="0.2">
      <c r="A246" s="3208" t="s">
        <v>43</v>
      </c>
      <c r="B246" s="2445" t="s">
        <v>259</v>
      </c>
      <c r="C246" s="2394" t="s">
        <v>225</v>
      </c>
      <c r="D246" s="2162"/>
      <c r="E246" s="2163"/>
      <c r="F246" s="2163"/>
      <c r="G246" s="2163"/>
      <c r="H246" s="2434"/>
      <c r="I246" s="2162"/>
      <c r="J246" s="2163"/>
      <c r="K246" s="2163"/>
      <c r="L246" s="2163"/>
      <c r="M246" s="2435"/>
      <c r="N246" s="2244"/>
      <c r="O246" s="2243"/>
      <c r="P246" s="2244"/>
      <c r="Q246" s="2243"/>
      <c r="R246" s="2168"/>
      <c r="S246" s="3252" t="s">
        <v>230</v>
      </c>
      <c r="T246" s="2111">
        <f t="shared" si="169"/>
        <v>0</v>
      </c>
    </row>
    <row r="247" spans="1:20" ht="14.25" customHeight="1" x14ac:dyDescent="0.2">
      <c r="A247" s="3209"/>
      <c r="B247" s="2436" t="s">
        <v>3</v>
      </c>
      <c r="C247" s="2174"/>
      <c r="D247" s="711">
        <f t="shared" ref="D247:P247" si="190">+D248</f>
        <v>3606362</v>
      </c>
      <c r="E247" s="686">
        <f t="shared" si="190"/>
        <v>0</v>
      </c>
      <c r="F247" s="686">
        <f t="shared" si="190"/>
        <v>2466061</v>
      </c>
      <c r="G247" s="686">
        <f t="shared" si="190"/>
        <v>1140301</v>
      </c>
      <c r="H247" s="2437">
        <f t="shared" si="190"/>
        <v>0</v>
      </c>
      <c r="I247" s="711">
        <f t="shared" si="190"/>
        <v>3606362</v>
      </c>
      <c r="J247" s="686">
        <f t="shared" si="190"/>
        <v>0</v>
      </c>
      <c r="K247" s="686">
        <f t="shared" si="190"/>
        <v>2466061</v>
      </c>
      <c r="L247" s="686">
        <f t="shared" si="190"/>
        <v>1140301</v>
      </c>
      <c r="M247" s="2438">
        <f t="shared" si="190"/>
        <v>0</v>
      </c>
      <c r="N247" s="686">
        <f t="shared" si="190"/>
        <v>2466061</v>
      </c>
      <c r="O247" s="712">
        <f t="shared" si="162"/>
        <v>68.38085028624414</v>
      </c>
      <c r="P247" s="712">
        <f t="shared" si="190"/>
        <v>0</v>
      </c>
      <c r="Q247" s="712">
        <f t="shared" si="163"/>
        <v>0</v>
      </c>
      <c r="R247" s="2439">
        <f t="shared" si="168"/>
        <v>-285075.25</v>
      </c>
      <c r="S247" s="3253"/>
      <c r="T247" s="2111">
        <f t="shared" si="169"/>
        <v>0</v>
      </c>
    </row>
    <row r="248" spans="1:20" ht="14.25" customHeight="1" x14ac:dyDescent="0.2">
      <c r="A248" s="3209"/>
      <c r="B248" s="2440" t="s">
        <v>4</v>
      </c>
      <c r="C248" s="3224" t="s">
        <v>227</v>
      </c>
      <c r="D248" s="837">
        <f t="shared" ref="D248:H248" si="191">+D249+D250</f>
        <v>3606362</v>
      </c>
      <c r="E248" s="839">
        <f t="shared" si="191"/>
        <v>0</v>
      </c>
      <c r="F248" s="839">
        <f t="shared" si="191"/>
        <v>2466061</v>
      </c>
      <c r="G248" s="839">
        <f t="shared" si="191"/>
        <v>1140301</v>
      </c>
      <c r="H248" s="2441">
        <f t="shared" si="191"/>
        <v>0</v>
      </c>
      <c r="I248" s="837">
        <f t="shared" ref="I248:N248" si="192">+I249+I250</f>
        <v>3606362</v>
      </c>
      <c r="J248" s="839">
        <f t="shared" si="192"/>
        <v>0</v>
      </c>
      <c r="K248" s="2237">
        <f t="shared" si="192"/>
        <v>2466061</v>
      </c>
      <c r="L248" s="839">
        <f t="shared" si="192"/>
        <v>1140301</v>
      </c>
      <c r="M248" s="2442">
        <f t="shared" si="192"/>
        <v>0</v>
      </c>
      <c r="N248" s="839">
        <f t="shared" si="192"/>
        <v>2466061</v>
      </c>
      <c r="O248" s="2180">
        <f t="shared" si="162"/>
        <v>68.38085028624414</v>
      </c>
      <c r="P248" s="838">
        <f>+P249+P250</f>
        <v>0</v>
      </c>
      <c r="Q248" s="2180">
        <f t="shared" si="163"/>
        <v>0</v>
      </c>
      <c r="R248" s="2181">
        <f t="shared" si="168"/>
        <v>-285075.25</v>
      </c>
      <c r="S248" s="3253"/>
      <c r="T248" s="2111">
        <f t="shared" si="169"/>
        <v>0</v>
      </c>
    </row>
    <row r="249" spans="1:20" ht="14.25" customHeight="1" x14ac:dyDescent="0.2">
      <c r="A249" s="3209"/>
      <c r="B249" s="1370" t="s">
        <v>11</v>
      </c>
      <c r="C249" s="3229"/>
      <c r="D249" s="701">
        <f>+E249+F249+G249+H249</f>
        <v>2932001</v>
      </c>
      <c r="E249" s="699">
        <v>0</v>
      </c>
      <c r="F249" s="699">
        <v>2004927</v>
      </c>
      <c r="G249" s="699">
        <v>927074</v>
      </c>
      <c r="H249" s="807">
        <v>0</v>
      </c>
      <c r="I249" s="701">
        <f>+J249+K249+L249+M249</f>
        <v>2932001</v>
      </c>
      <c r="J249" s="699">
        <v>0</v>
      </c>
      <c r="K249" s="699">
        <v>2004927</v>
      </c>
      <c r="L249" s="699">
        <v>927074</v>
      </c>
      <c r="M249" s="2444">
        <v>0</v>
      </c>
      <c r="N249" s="699">
        <f>K249+P249+J249</f>
        <v>2004927</v>
      </c>
      <c r="O249" s="2187">
        <f t="shared" si="162"/>
        <v>68.380842980612897</v>
      </c>
      <c r="P249" s="702">
        <v>0</v>
      </c>
      <c r="Q249" s="2187">
        <f t="shared" si="163"/>
        <v>0</v>
      </c>
      <c r="R249" s="2188">
        <f t="shared" si="168"/>
        <v>-231768.5</v>
      </c>
      <c r="S249" s="3253"/>
      <c r="T249" s="2111">
        <f t="shared" si="169"/>
        <v>0</v>
      </c>
    </row>
    <row r="250" spans="1:20" ht="14.25" customHeight="1" x14ac:dyDescent="0.2">
      <c r="A250" s="3209"/>
      <c r="B250" s="1370" t="s">
        <v>9</v>
      </c>
      <c r="C250" s="3255"/>
      <c r="D250" s="701">
        <f>+E250+F250+G250+H250</f>
        <v>674361</v>
      </c>
      <c r="E250" s="699">
        <v>0</v>
      </c>
      <c r="F250" s="699">
        <v>461134</v>
      </c>
      <c r="G250" s="699">
        <v>213227</v>
      </c>
      <c r="H250" s="807">
        <v>0</v>
      </c>
      <c r="I250" s="701">
        <f>+J250+K250+L250+M250</f>
        <v>674361</v>
      </c>
      <c r="J250" s="699">
        <v>0</v>
      </c>
      <c r="K250" s="699">
        <v>461134</v>
      </c>
      <c r="L250" s="699">
        <v>213227</v>
      </c>
      <c r="M250" s="2444">
        <v>0</v>
      </c>
      <c r="N250" s="699">
        <f>K250+P250+J250</f>
        <v>461134</v>
      </c>
      <c r="O250" s="2187">
        <f>N250/D250*100</f>
        <v>68.380882049821977</v>
      </c>
      <c r="P250" s="702">
        <v>0</v>
      </c>
      <c r="Q250" s="2187">
        <f>P250/G250*100</f>
        <v>0</v>
      </c>
      <c r="R250" s="2188">
        <f t="shared" si="168"/>
        <v>-53306.75</v>
      </c>
      <c r="S250" s="3253"/>
      <c r="T250" s="2111">
        <f t="shared" si="169"/>
        <v>0</v>
      </c>
    </row>
    <row r="251" spans="1:20" ht="14.25" customHeight="1" x14ac:dyDescent="0.2">
      <c r="A251" s="3209"/>
      <c r="B251" s="2436" t="s">
        <v>17</v>
      </c>
      <c r="C251" s="2174"/>
      <c r="D251" s="711">
        <f t="shared" ref="D251:H251" si="193">+D252</f>
        <v>3606362</v>
      </c>
      <c r="E251" s="686">
        <f t="shared" si="193"/>
        <v>0</v>
      </c>
      <c r="F251" s="686">
        <f t="shared" si="193"/>
        <v>2466061</v>
      </c>
      <c r="G251" s="686">
        <f t="shared" si="193"/>
        <v>1140301</v>
      </c>
      <c r="H251" s="2437">
        <f t="shared" si="193"/>
        <v>0</v>
      </c>
      <c r="I251" s="711">
        <f t="shared" ref="I251:N251" si="194">+I252</f>
        <v>3606362</v>
      </c>
      <c r="J251" s="686">
        <f t="shared" si="194"/>
        <v>0</v>
      </c>
      <c r="K251" s="686">
        <f t="shared" si="194"/>
        <v>2466061</v>
      </c>
      <c r="L251" s="686">
        <f t="shared" si="194"/>
        <v>1140301</v>
      </c>
      <c r="M251" s="2438">
        <f t="shared" si="194"/>
        <v>0</v>
      </c>
      <c r="N251" s="686">
        <f t="shared" si="194"/>
        <v>2466061</v>
      </c>
      <c r="O251" s="712">
        <f t="shared" si="162"/>
        <v>68.38085028624414</v>
      </c>
      <c r="P251" s="712">
        <f>P252</f>
        <v>0</v>
      </c>
      <c r="Q251" s="712">
        <f t="shared" si="163"/>
        <v>0</v>
      </c>
      <c r="R251" s="2439">
        <f t="shared" si="168"/>
        <v>-285075.25</v>
      </c>
      <c r="S251" s="3253"/>
      <c r="T251" s="2111">
        <f t="shared" si="169"/>
        <v>0</v>
      </c>
    </row>
    <row r="252" spans="1:20" ht="14.25" customHeight="1" x14ac:dyDescent="0.2">
      <c r="A252" s="3209"/>
      <c r="B252" s="2440" t="s">
        <v>4</v>
      </c>
      <c r="C252" s="3224" t="s">
        <v>227</v>
      </c>
      <c r="D252" s="837">
        <f t="shared" ref="D252:E252" si="195">+D253+D254</f>
        <v>3606362</v>
      </c>
      <c r="E252" s="839">
        <f t="shared" si="195"/>
        <v>0</v>
      </c>
      <c r="F252" s="839">
        <f>+F253+F254</f>
        <v>2466061</v>
      </c>
      <c r="G252" s="839">
        <f>+G253+G254</f>
        <v>1140301</v>
      </c>
      <c r="H252" s="2441">
        <f t="shared" ref="H252" si="196">+H253+H254</f>
        <v>0</v>
      </c>
      <c r="I252" s="837">
        <f t="shared" ref="I252:M252" si="197">+I253+I254</f>
        <v>3606362</v>
      </c>
      <c r="J252" s="839">
        <f t="shared" si="197"/>
        <v>0</v>
      </c>
      <c r="K252" s="2237">
        <f>+K253+K254</f>
        <v>2466061</v>
      </c>
      <c r="L252" s="839">
        <f>+L253+L254</f>
        <v>1140301</v>
      </c>
      <c r="M252" s="2442">
        <f t="shared" si="197"/>
        <v>0</v>
      </c>
      <c r="N252" s="839">
        <f>N253+N254</f>
        <v>2466061</v>
      </c>
      <c r="O252" s="2180">
        <f t="shared" si="162"/>
        <v>68.38085028624414</v>
      </c>
      <c r="P252" s="838">
        <f>SUM(P253:P254)</f>
        <v>0</v>
      </c>
      <c r="Q252" s="2180">
        <f t="shared" si="163"/>
        <v>0</v>
      </c>
      <c r="R252" s="2181">
        <f t="shared" si="168"/>
        <v>-285075.25</v>
      </c>
      <c r="S252" s="3253"/>
      <c r="T252" s="2111">
        <f t="shared" si="169"/>
        <v>0</v>
      </c>
    </row>
    <row r="253" spans="1:20" ht="14.25" customHeight="1" x14ac:dyDescent="0.2">
      <c r="A253" s="3209"/>
      <c r="B253" s="1370" t="s">
        <v>37</v>
      </c>
      <c r="C253" s="3229"/>
      <c r="D253" s="701">
        <f>+E253+F253+G253+H253</f>
        <v>2932001</v>
      </c>
      <c r="E253" s="699">
        <v>0</v>
      </c>
      <c r="F253" s="699">
        <v>2004927</v>
      </c>
      <c r="G253" s="699">
        <v>927074</v>
      </c>
      <c r="H253" s="807">
        <v>0</v>
      </c>
      <c r="I253" s="701">
        <f>+J253+K253+L253+M253</f>
        <v>2932001</v>
      </c>
      <c r="J253" s="699">
        <v>0</v>
      </c>
      <c r="K253" s="699">
        <v>2004927</v>
      </c>
      <c r="L253" s="699">
        <v>927074</v>
      </c>
      <c r="M253" s="2444">
        <v>0</v>
      </c>
      <c r="N253" s="699">
        <f>K253+P253+J253</f>
        <v>2004927</v>
      </c>
      <c r="O253" s="2187">
        <f t="shared" si="162"/>
        <v>68.380842980612897</v>
      </c>
      <c r="P253" s="702">
        <v>0</v>
      </c>
      <c r="Q253" s="2187">
        <f t="shared" si="163"/>
        <v>0</v>
      </c>
      <c r="R253" s="2188">
        <f t="shared" si="168"/>
        <v>-231768.5</v>
      </c>
      <c r="S253" s="3253"/>
      <c r="T253" s="2111">
        <f t="shared" si="169"/>
        <v>0</v>
      </c>
    </row>
    <row r="254" spans="1:20" ht="14.25" customHeight="1" thickBot="1" x14ac:dyDescent="0.25">
      <c r="A254" s="3217"/>
      <c r="B254" s="2446" t="s">
        <v>9</v>
      </c>
      <c r="C254" s="3231"/>
      <c r="D254" s="722">
        <f>+E254+F254+G254+H254</f>
        <v>674361</v>
      </c>
      <c r="E254" s="720">
        <v>0</v>
      </c>
      <c r="F254" s="720">
        <v>461134</v>
      </c>
      <c r="G254" s="720">
        <v>213227</v>
      </c>
      <c r="H254" s="850">
        <v>0</v>
      </c>
      <c r="I254" s="722">
        <f>+J254+K254+L254+M254</f>
        <v>674361</v>
      </c>
      <c r="J254" s="720">
        <v>0</v>
      </c>
      <c r="K254" s="720">
        <v>461134</v>
      </c>
      <c r="L254" s="720">
        <v>213227</v>
      </c>
      <c r="M254" s="2447">
        <v>0</v>
      </c>
      <c r="N254" s="720">
        <f>K254+P254+J254</f>
        <v>461134</v>
      </c>
      <c r="O254" s="723">
        <f t="shared" si="162"/>
        <v>68.380882049821977</v>
      </c>
      <c r="P254" s="723">
        <v>0</v>
      </c>
      <c r="Q254" s="723">
        <f t="shared" ref="Q254" si="198">+P254/L254*100</f>
        <v>0</v>
      </c>
      <c r="R254" s="2217">
        <f t="shared" si="168"/>
        <v>-53306.75</v>
      </c>
      <c r="S254" s="3254"/>
      <c r="T254" s="2111">
        <f t="shared" si="169"/>
        <v>0</v>
      </c>
    </row>
    <row r="255" spans="1:20" ht="12.95" customHeight="1" x14ac:dyDescent="0.2">
      <c r="A255" s="2448"/>
      <c r="B255" s="2449"/>
      <c r="C255" s="472"/>
      <c r="D255" s="470"/>
      <c r="E255" s="2450"/>
      <c r="F255" s="2451"/>
      <c r="G255" s="2451"/>
      <c r="H255" s="2451"/>
      <c r="I255" s="470"/>
      <c r="J255" s="2450"/>
      <c r="K255" s="2451"/>
      <c r="L255" s="2451"/>
      <c r="M255" s="2451"/>
      <c r="N255" s="2452"/>
      <c r="O255" s="2453"/>
      <c r="P255" s="2454"/>
      <c r="Q255" s="2454"/>
      <c r="R255" s="2451"/>
      <c r="S255" s="2455"/>
      <c r="T255" s="2111"/>
    </row>
    <row r="256" spans="1:20" ht="12.95" customHeight="1" x14ac:dyDescent="0.2">
      <c r="A256" s="2448"/>
      <c r="B256" s="2449"/>
      <c r="C256" s="472"/>
      <c r="D256" s="470"/>
      <c r="E256" s="2450"/>
      <c r="F256" s="2451"/>
      <c r="G256" s="2451"/>
      <c r="H256" s="2451"/>
      <c r="I256" s="470"/>
      <c r="J256" s="2450"/>
      <c r="K256" s="2451"/>
      <c r="L256" s="2451"/>
      <c r="M256" s="2451"/>
      <c r="N256" s="2452"/>
      <c r="O256" s="2453"/>
      <c r="P256" s="2454"/>
      <c r="Q256" s="2454"/>
      <c r="R256" s="2451"/>
      <c r="S256" s="2455"/>
      <c r="T256" s="2111"/>
    </row>
    <row r="257" spans="1:20" ht="12.95" customHeight="1" x14ac:dyDescent="0.2">
      <c r="A257" s="2448"/>
      <c r="B257" s="2449"/>
      <c r="C257" s="472"/>
      <c r="D257" s="470"/>
      <c r="E257" s="2450"/>
      <c r="F257" s="2451"/>
      <c r="G257" s="2451"/>
      <c r="H257" s="2451"/>
      <c r="I257" s="470"/>
      <c r="J257" s="2450"/>
      <c r="K257" s="2451"/>
      <c r="L257" s="2451"/>
      <c r="M257" s="2451"/>
      <c r="N257" s="2452"/>
      <c r="O257" s="2453"/>
      <c r="P257" s="2454"/>
      <c r="Q257" s="2454"/>
      <c r="R257" s="2451"/>
      <c r="S257" s="2455"/>
      <c r="T257" s="2111"/>
    </row>
    <row r="258" spans="1:20" ht="12.95" customHeight="1" x14ac:dyDescent="0.2">
      <c r="A258" s="2448"/>
      <c r="B258" s="2449"/>
      <c r="C258" s="472"/>
      <c r="D258" s="470"/>
      <c r="E258" s="2450"/>
      <c r="F258" s="2451"/>
      <c r="G258" s="2451"/>
      <c r="H258" s="2451"/>
      <c r="I258" s="470"/>
      <c r="J258" s="2450"/>
      <c r="K258" s="2451"/>
      <c r="L258" s="2451"/>
      <c r="M258" s="2451"/>
      <c r="N258" s="2452"/>
      <c r="O258" s="2453"/>
      <c r="P258" s="2454"/>
      <c r="Q258" s="2454"/>
      <c r="R258" s="2451"/>
      <c r="S258" s="2455"/>
      <c r="T258" s="2111"/>
    </row>
    <row r="259" spans="1:20" ht="12.95" customHeight="1" x14ac:dyDescent="0.2">
      <c r="A259" s="2448"/>
      <c r="B259" s="2449"/>
      <c r="C259" s="472"/>
      <c r="D259" s="470"/>
      <c r="E259" s="2450"/>
      <c r="F259" s="2451"/>
      <c r="G259" s="2451"/>
      <c r="H259" s="2451"/>
      <c r="I259" s="470"/>
      <c r="J259" s="2450"/>
      <c r="K259" s="2451"/>
      <c r="L259" s="2451"/>
      <c r="M259" s="2451"/>
      <c r="N259" s="2452"/>
      <c r="O259" s="2453"/>
      <c r="P259" s="2454"/>
      <c r="Q259" s="2454"/>
      <c r="R259" s="2451"/>
      <c r="S259" s="2455"/>
      <c r="T259" s="2111"/>
    </row>
    <row r="260" spans="1:20" ht="12.95" customHeight="1" x14ac:dyDescent="0.2">
      <c r="A260" s="2456"/>
      <c r="E260" s="470"/>
      <c r="N260" s="271"/>
      <c r="O260" s="2457"/>
      <c r="P260" s="271"/>
      <c r="Q260" s="271"/>
      <c r="R260" s="271"/>
      <c r="S260" s="474"/>
      <c r="T260" s="474"/>
    </row>
    <row r="261" spans="1:20" x14ac:dyDescent="0.2">
      <c r="E261" s="470"/>
      <c r="I261" s="2458"/>
      <c r="N261" s="271"/>
      <c r="O261" s="2457"/>
      <c r="P261" s="271"/>
      <c r="Q261" s="271"/>
      <c r="R261" s="271"/>
      <c r="S261" s="474"/>
      <c r="T261" s="474"/>
    </row>
    <row r="262" spans="1:20" x14ac:dyDescent="0.2">
      <c r="D262" s="2083"/>
      <c r="E262" s="2083"/>
      <c r="F262" s="2083"/>
      <c r="G262" s="2083"/>
      <c r="H262" s="2083"/>
      <c r="I262" s="2083"/>
      <c r="J262" s="2083"/>
      <c r="K262" s="2083"/>
      <c r="L262" s="2083"/>
      <c r="M262" s="2083"/>
      <c r="N262" s="2083"/>
      <c r="O262" s="2459"/>
      <c r="P262" s="2083"/>
    </row>
    <row r="263" spans="1:20" x14ac:dyDescent="0.2">
      <c r="D263" s="2083"/>
      <c r="E263" s="2083"/>
      <c r="F263" s="2083"/>
      <c r="G263" s="2083"/>
      <c r="H263" s="2083"/>
      <c r="I263" s="2083"/>
      <c r="J263" s="2083"/>
      <c r="K263" s="2083"/>
      <c r="L263" s="2083"/>
      <c r="M263" s="2083"/>
      <c r="N263" s="2083"/>
      <c r="P263" s="2083"/>
    </row>
    <row r="265" spans="1:20" x14ac:dyDescent="0.2">
      <c r="D265" s="2083"/>
      <c r="E265" s="2083"/>
      <c r="F265" s="2083"/>
      <c r="G265" s="2083"/>
      <c r="H265" s="2083"/>
      <c r="I265" s="2083"/>
      <c r="J265" s="2083"/>
      <c r="K265" s="2083"/>
      <c r="L265" s="2083"/>
      <c r="M265" s="2083"/>
      <c r="N265" s="2083"/>
      <c r="P265" s="2083"/>
    </row>
    <row r="266" spans="1:20" x14ac:dyDescent="0.2">
      <c r="D266" s="2083"/>
      <c r="E266" s="2083"/>
      <c r="F266" s="2083"/>
      <c r="G266" s="2083"/>
      <c r="H266" s="2083"/>
      <c r="I266" s="2083"/>
      <c r="J266" s="2083"/>
      <c r="K266" s="2083"/>
      <c r="L266" s="2083"/>
      <c r="M266" s="2083"/>
      <c r="N266" s="2083"/>
      <c r="P266" s="2083"/>
    </row>
    <row r="270" spans="1:20" x14ac:dyDescent="0.2">
      <c r="G270" s="2083"/>
      <c r="H270" s="2083"/>
    </row>
    <row r="272" spans="1:20" x14ac:dyDescent="0.2">
      <c r="G272" s="2083"/>
      <c r="H272" s="2083"/>
    </row>
    <row r="273" spans="4:4" x14ac:dyDescent="0.2">
      <c r="D273" s="2083"/>
    </row>
  </sheetData>
  <mergeCells count="101">
    <mergeCell ref="A246:A254"/>
    <mergeCell ref="S246:S254"/>
    <mergeCell ref="C248:C250"/>
    <mergeCell ref="C252:C254"/>
    <mergeCell ref="A226:S226"/>
    <mergeCell ref="A230:A238"/>
    <mergeCell ref="C231:C234"/>
    <mergeCell ref="C236:C238"/>
    <mergeCell ref="A239:A245"/>
    <mergeCell ref="S239:S245"/>
    <mergeCell ref="C241:C242"/>
    <mergeCell ref="C244:C245"/>
    <mergeCell ref="S227:S238"/>
    <mergeCell ref="A187:A201"/>
    <mergeCell ref="S187:S201"/>
    <mergeCell ref="C189:C194"/>
    <mergeCell ref="C196:C201"/>
    <mergeCell ref="A202:A216"/>
    <mergeCell ref="S202:S216"/>
    <mergeCell ref="C204:C209"/>
    <mergeCell ref="C211:C216"/>
    <mergeCell ref="A217:A225"/>
    <mergeCell ref="S217:S225"/>
    <mergeCell ref="C219:C222"/>
    <mergeCell ref="C224:C225"/>
    <mergeCell ref="A155:A160"/>
    <mergeCell ref="S155:S161"/>
    <mergeCell ref="C157:C158"/>
    <mergeCell ref="C160:C161"/>
    <mergeCell ref="A162:A175"/>
    <mergeCell ref="S162:S175"/>
    <mergeCell ref="C164:C168"/>
    <mergeCell ref="C170:C175"/>
    <mergeCell ref="A176:A186"/>
    <mergeCell ref="S176:S186"/>
    <mergeCell ref="C178:C181"/>
    <mergeCell ref="C183:C186"/>
    <mergeCell ref="A116:A126"/>
    <mergeCell ref="S116:S126"/>
    <mergeCell ref="C118:C121"/>
    <mergeCell ref="C123:C126"/>
    <mergeCell ref="A127:A140"/>
    <mergeCell ref="S127:S140"/>
    <mergeCell ref="C129:C133"/>
    <mergeCell ref="C135:C140"/>
    <mergeCell ref="A141:A151"/>
    <mergeCell ref="S141:S151"/>
    <mergeCell ref="C143:C147"/>
    <mergeCell ref="C149:C151"/>
    <mergeCell ref="A89:A104"/>
    <mergeCell ref="S89:S104"/>
    <mergeCell ref="C99:C104"/>
    <mergeCell ref="C75:C81"/>
    <mergeCell ref="C91:C97"/>
    <mergeCell ref="A105:A115"/>
    <mergeCell ref="S105:S115"/>
    <mergeCell ref="C107:C110"/>
    <mergeCell ref="C112:C115"/>
    <mergeCell ref="A47:A59"/>
    <mergeCell ref="S47:S59"/>
    <mergeCell ref="C49:C53"/>
    <mergeCell ref="C55:C59"/>
    <mergeCell ref="A60:A72"/>
    <mergeCell ref="S60:S72"/>
    <mergeCell ref="C62:C66"/>
    <mergeCell ref="A73:A88"/>
    <mergeCell ref="S73:S88"/>
    <mergeCell ref="C83:C88"/>
    <mergeCell ref="R6:R7"/>
    <mergeCell ref="A12:A32"/>
    <mergeCell ref="S12:S32"/>
    <mergeCell ref="C13:C22"/>
    <mergeCell ref="C24:C32"/>
    <mergeCell ref="A33:A45"/>
    <mergeCell ref="S33:S45"/>
    <mergeCell ref="C35:C39"/>
    <mergeCell ref="C41:C45"/>
    <mergeCell ref="G5:H5"/>
    <mergeCell ref="G6:G7"/>
    <mergeCell ref="H6:H7"/>
    <mergeCell ref="O5:R5"/>
    <mergeCell ref="O6:O7"/>
    <mergeCell ref="L5:L7"/>
    <mergeCell ref="A3:S3"/>
    <mergeCell ref="A4:A7"/>
    <mergeCell ref="B4:B7"/>
    <mergeCell ref="C4:C7"/>
    <mergeCell ref="D4:H4"/>
    <mergeCell ref="I4:M4"/>
    <mergeCell ref="N4:S4"/>
    <mergeCell ref="D5:D7"/>
    <mergeCell ref="E5:E7"/>
    <mergeCell ref="F5:F7"/>
    <mergeCell ref="I5:I7"/>
    <mergeCell ref="J5:J7"/>
    <mergeCell ref="K5:K7"/>
    <mergeCell ref="M5:M7"/>
    <mergeCell ref="N5:N7"/>
    <mergeCell ref="S5:S7"/>
    <mergeCell ref="P6:P7"/>
    <mergeCell ref="Q6:Q7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60" firstPageNumber="80" orientation="portrait" useFirstPageNumber="1" r:id="rId1"/>
  <headerFooter alignWithMargins="0">
    <oddHeader>&amp;C&amp;"Arial,Kursywa"Informacja o przebiegu wykonania budżetu Województwa Zachodniopomorskiego za I kwartał 2013 roku - załączniki
__________________________________________________________________________________________________________________</oddHeader>
    <oddFooter>&amp;C&amp;8&amp;P</oddFooter>
  </headerFooter>
  <rowBreaks count="3" manualBreakCount="3">
    <brk id="72" max="18" man="1"/>
    <brk id="186" max="18" man="1"/>
    <brk id="267" max="1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J498"/>
  <sheetViews>
    <sheetView showGridLines="0" view="pageBreakPreview" zoomScaleNormal="100" zoomScaleSheetLayoutView="100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T1" sqref="T1:V1048576"/>
    </sheetView>
  </sheetViews>
  <sheetFormatPr defaultRowHeight="11.25" x14ac:dyDescent="0.2"/>
  <cols>
    <col min="1" max="1" width="2.85546875" style="1748" customWidth="1"/>
    <col min="2" max="2" width="52.5703125" style="1749" customWidth="1"/>
    <col min="3" max="3" width="11.28515625" style="1749" customWidth="1"/>
    <col min="4" max="4" width="13.85546875" style="1749" customWidth="1"/>
    <col min="5" max="5" width="10.85546875" style="1749" hidden="1" customWidth="1"/>
    <col min="6" max="6" width="10.28515625" style="1749" hidden="1" customWidth="1"/>
    <col min="7" max="7" width="13" style="1749" customWidth="1"/>
    <col min="8" max="8" width="12.140625" style="1749" customWidth="1"/>
    <col min="9" max="9" width="12.7109375" style="1749" hidden="1" customWidth="1"/>
    <col min="10" max="10" width="11.28515625" style="1749" hidden="1" customWidth="1"/>
    <col min="11" max="11" width="9.5703125" style="1749" hidden="1" customWidth="1"/>
    <col min="12" max="12" width="11" style="1749" hidden="1" customWidth="1"/>
    <col min="13" max="13" width="12.7109375" style="1749" hidden="1" customWidth="1"/>
    <col min="14" max="14" width="11.85546875" style="1749" customWidth="1"/>
    <col min="15" max="15" width="11.42578125" style="1947" customWidth="1"/>
    <col min="16" max="16" width="11.140625" style="1751" customWidth="1"/>
    <col min="17" max="17" width="11.7109375" style="1751" customWidth="1"/>
    <col min="18" max="18" width="13.5703125" style="1751" hidden="1" customWidth="1"/>
    <col min="19" max="19" width="13.140625" style="1948" customWidth="1"/>
    <col min="20" max="20" width="11.85546875" style="1749" customWidth="1"/>
    <col min="21" max="16384" width="9.140625" style="1749"/>
  </cols>
  <sheetData>
    <row r="1" spans="1:114" ht="24.75" customHeight="1" x14ac:dyDescent="0.3">
      <c r="N1" s="9"/>
      <c r="O1" s="9"/>
      <c r="P1" s="9" t="s">
        <v>373</v>
      </c>
      <c r="Q1" s="9"/>
      <c r="S1" s="1287"/>
    </row>
    <row r="2" spans="1:114" ht="15" customHeight="1" x14ac:dyDescent="0.2">
      <c r="N2" s="242"/>
      <c r="O2" s="1749"/>
      <c r="P2" s="1749"/>
      <c r="Q2" s="1749"/>
      <c r="R2" s="1749"/>
      <c r="S2" s="1287"/>
    </row>
    <row r="3" spans="1:114" ht="5.25" customHeight="1" x14ac:dyDescent="0.2">
      <c r="N3" s="242"/>
      <c r="O3" s="1749"/>
      <c r="P3" s="1749"/>
      <c r="Q3" s="1749"/>
      <c r="R3" s="1749"/>
      <c r="S3" s="1287"/>
    </row>
    <row r="4" spans="1:114" ht="9" customHeight="1" x14ac:dyDescent="0.2">
      <c r="A4" s="1751"/>
      <c r="B4" s="1751"/>
      <c r="C4" s="1751"/>
      <c r="D4" s="1751"/>
      <c r="E4" s="1751"/>
      <c r="F4" s="1751"/>
      <c r="G4" s="1751"/>
      <c r="H4" s="1751"/>
      <c r="I4" s="1751"/>
      <c r="J4" s="1751"/>
      <c r="K4" s="1751"/>
      <c r="L4" s="1751"/>
      <c r="M4" s="1751"/>
      <c r="N4" s="1408"/>
      <c r="O4" s="1751"/>
      <c r="S4" s="1287"/>
    </row>
    <row r="5" spans="1:114" s="1753" customFormat="1" ht="44.25" customHeight="1" thickBot="1" x14ac:dyDescent="0.25">
      <c r="A5" s="3078" t="s">
        <v>260</v>
      </c>
      <c r="B5" s="3267"/>
      <c r="C5" s="3267"/>
      <c r="D5" s="3267"/>
      <c r="E5" s="3267"/>
      <c r="F5" s="3267"/>
      <c r="G5" s="3267"/>
      <c r="H5" s="3267"/>
      <c r="I5" s="3267"/>
      <c r="J5" s="3267"/>
      <c r="K5" s="3267"/>
      <c r="L5" s="3267"/>
      <c r="M5" s="3267"/>
      <c r="N5" s="3268"/>
      <c r="O5" s="3268"/>
      <c r="P5" s="3268"/>
      <c r="Q5" s="3268"/>
      <c r="R5" s="3268"/>
      <c r="S5" s="3269"/>
      <c r="T5" s="1537"/>
      <c r="U5" s="1752"/>
      <c r="V5" s="1752"/>
      <c r="W5" s="1752"/>
      <c r="X5" s="1752"/>
      <c r="Y5" s="1752"/>
      <c r="Z5" s="1752"/>
      <c r="AA5" s="1752"/>
      <c r="AB5" s="1752"/>
      <c r="AC5" s="1752"/>
      <c r="AD5" s="1752"/>
      <c r="AE5" s="1752"/>
      <c r="AF5" s="1752"/>
      <c r="AG5" s="1752"/>
      <c r="AH5" s="1752"/>
      <c r="AI5" s="1752"/>
      <c r="AJ5" s="1752"/>
      <c r="AK5" s="1752"/>
      <c r="AL5" s="1752"/>
      <c r="AM5" s="1752"/>
      <c r="AN5" s="1752"/>
      <c r="AO5" s="1752"/>
      <c r="AP5" s="1752"/>
      <c r="AQ5" s="1752"/>
      <c r="AR5" s="1752"/>
      <c r="AS5" s="1752"/>
      <c r="AT5" s="1752"/>
      <c r="AU5" s="1752"/>
      <c r="AV5" s="1752"/>
      <c r="AW5" s="1752"/>
      <c r="AX5" s="1752"/>
      <c r="AY5" s="1752"/>
      <c r="AZ5" s="1752"/>
      <c r="BA5" s="1752"/>
      <c r="BB5" s="1752"/>
      <c r="BC5" s="1752"/>
      <c r="BD5" s="1752"/>
      <c r="BE5" s="1752"/>
      <c r="BF5" s="1752"/>
      <c r="BG5" s="1752"/>
      <c r="BH5" s="1752"/>
      <c r="BI5" s="1752"/>
      <c r="BJ5" s="1752"/>
      <c r="BK5" s="1752"/>
      <c r="BL5" s="1752"/>
      <c r="BM5" s="1752"/>
      <c r="BN5" s="1752"/>
      <c r="BO5" s="1752"/>
      <c r="BP5" s="1752"/>
      <c r="BQ5" s="1752"/>
      <c r="BR5" s="1752"/>
      <c r="BS5" s="1752"/>
      <c r="BT5" s="1752"/>
      <c r="BU5" s="1752"/>
      <c r="BV5" s="1752"/>
      <c r="BW5" s="1752"/>
      <c r="BX5" s="1752"/>
      <c r="BY5" s="1752"/>
      <c r="BZ5" s="1752"/>
      <c r="CA5" s="1752"/>
      <c r="CB5" s="1752"/>
      <c r="CC5" s="1752"/>
      <c r="CD5" s="1752"/>
      <c r="CE5" s="1752"/>
      <c r="CF5" s="1752"/>
      <c r="CG5" s="1752"/>
      <c r="CH5" s="1752"/>
      <c r="CI5" s="1752"/>
      <c r="CJ5" s="1752"/>
      <c r="CK5" s="1752"/>
      <c r="CL5" s="1752"/>
      <c r="CM5" s="1752"/>
      <c r="CN5" s="1752"/>
      <c r="CO5" s="1752"/>
      <c r="CP5" s="1752"/>
      <c r="CQ5" s="1752"/>
      <c r="CR5" s="1752"/>
      <c r="CS5" s="1752"/>
      <c r="CT5" s="1752"/>
      <c r="CU5" s="1752"/>
      <c r="CV5" s="1752"/>
      <c r="CW5" s="1752"/>
      <c r="CX5" s="1752"/>
      <c r="CY5" s="1752"/>
      <c r="CZ5" s="1752"/>
      <c r="DA5" s="1752"/>
      <c r="DB5" s="1752"/>
      <c r="DC5" s="1752"/>
      <c r="DD5" s="1752"/>
      <c r="DE5" s="1752"/>
      <c r="DF5" s="1752"/>
      <c r="DG5" s="1752"/>
      <c r="DH5" s="1752"/>
      <c r="DI5" s="1752"/>
      <c r="DJ5" s="1752"/>
    </row>
    <row r="6" spans="1:114" s="493" customFormat="1" ht="45.75" customHeight="1" x14ac:dyDescent="0.2">
      <c r="A6" s="3270" t="s">
        <v>32</v>
      </c>
      <c r="B6" s="3273" t="s">
        <v>33</v>
      </c>
      <c r="C6" s="2988" t="s">
        <v>34</v>
      </c>
      <c r="D6" s="2717" t="s">
        <v>360</v>
      </c>
      <c r="E6" s="2718"/>
      <c r="F6" s="2718"/>
      <c r="G6" s="2718"/>
      <c r="H6" s="2719"/>
      <c r="I6" s="2927"/>
      <c r="J6" s="2928"/>
      <c r="K6" s="2928"/>
      <c r="L6" s="2928"/>
      <c r="M6" s="2929"/>
      <c r="N6" s="2930" t="s">
        <v>214</v>
      </c>
      <c r="O6" s="2718"/>
      <c r="P6" s="2718"/>
      <c r="Q6" s="2718"/>
      <c r="R6" s="2718"/>
      <c r="S6" s="2719"/>
    </row>
    <row r="7" spans="1:114" s="493" customFormat="1" ht="24.75" customHeight="1" x14ac:dyDescent="0.2">
      <c r="A7" s="3271"/>
      <c r="B7" s="3274"/>
      <c r="C7" s="2989"/>
      <c r="D7" s="2931" t="s">
        <v>0</v>
      </c>
      <c r="E7" s="2934" t="s">
        <v>215</v>
      </c>
      <c r="F7" s="2935" t="s">
        <v>216</v>
      </c>
      <c r="G7" s="2917" t="s">
        <v>349</v>
      </c>
      <c r="H7" s="2918"/>
      <c r="I7" s="2937" t="s">
        <v>0</v>
      </c>
      <c r="J7" s="2919" t="s">
        <v>215</v>
      </c>
      <c r="K7" s="2940" t="s">
        <v>216</v>
      </c>
      <c r="L7" s="2919" t="s">
        <v>308</v>
      </c>
      <c r="M7" s="2943" t="s">
        <v>304</v>
      </c>
      <c r="N7" s="2944" t="s">
        <v>217</v>
      </c>
      <c r="O7" s="2720" t="s">
        <v>359</v>
      </c>
      <c r="P7" s="2721"/>
      <c r="Q7" s="2721"/>
      <c r="R7" s="2788"/>
      <c r="S7" s="2945" t="s">
        <v>35</v>
      </c>
    </row>
    <row r="8" spans="1:114" s="493" customFormat="1" ht="65.25" customHeight="1" x14ac:dyDescent="0.2">
      <c r="A8" s="3271"/>
      <c r="B8" s="3274"/>
      <c r="C8" s="2989"/>
      <c r="D8" s="2932"/>
      <c r="E8" s="2932"/>
      <c r="F8" s="2935"/>
      <c r="G8" s="2753" t="s">
        <v>358</v>
      </c>
      <c r="H8" s="2761" t="s">
        <v>304</v>
      </c>
      <c r="I8" s="2938"/>
      <c r="J8" s="2920"/>
      <c r="K8" s="2941"/>
      <c r="L8" s="2920"/>
      <c r="M8" s="2733"/>
      <c r="N8" s="2753"/>
      <c r="O8" s="2753" t="s">
        <v>355</v>
      </c>
      <c r="P8" s="2753" t="s">
        <v>218</v>
      </c>
      <c r="Q8" s="2753" t="s">
        <v>356</v>
      </c>
      <c r="R8" s="2709" t="s">
        <v>219</v>
      </c>
      <c r="S8" s="2946"/>
    </row>
    <row r="9" spans="1:114" s="493" customFormat="1" ht="42.75" customHeight="1" thickBot="1" x14ac:dyDescent="0.25">
      <c r="A9" s="3272"/>
      <c r="B9" s="3275"/>
      <c r="C9" s="2990"/>
      <c r="D9" s="2933"/>
      <c r="E9" s="2933"/>
      <c r="F9" s="2936"/>
      <c r="G9" s="2755"/>
      <c r="H9" s="2762"/>
      <c r="I9" s="2939"/>
      <c r="J9" s="2921"/>
      <c r="K9" s="2942"/>
      <c r="L9" s="2921"/>
      <c r="M9" s="2735"/>
      <c r="N9" s="2755"/>
      <c r="O9" s="2755"/>
      <c r="P9" s="2755"/>
      <c r="Q9" s="2755"/>
      <c r="R9" s="2710"/>
      <c r="S9" s="2787"/>
    </row>
    <row r="10" spans="1:114" s="493" customFormat="1" ht="13.5" customHeight="1" thickBot="1" x14ac:dyDescent="0.25">
      <c r="A10" s="2460">
        <v>1</v>
      </c>
      <c r="B10" s="2461">
        <v>2</v>
      </c>
      <c r="C10" s="2462">
        <v>3</v>
      </c>
      <c r="D10" s="2463">
        <v>4</v>
      </c>
      <c r="E10" s="2464">
        <v>5</v>
      </c>
      <c r="F10" s="2465"/>
      <c r="G10" s="2465">
        <v>5</v>
      </c>
      <c r="H10" s="2466">
        <v>6</v>
      </c>
      <c r="I10" s="2467">
        <v>7</v>
      </c>
      <c r="J10" s="2465"/>
      <c r="K10" s="2465"/>
      <c r="L10" s="2465">
        <v>8</v>
      </c>
      <c r="M10" s="2466">
        <v>9</v>
      </c>
      <c r="N10" s="2467">
        <v>7</v>
      </c>
      <c r="O10" s="2465">
        <v>8</v>
      </c>
      <c r="P10" s="2465">
        <v>9</v>
      </c>
      <c r="Q10" s="2465">
        <v>10</v>
      </c>
      <c r="R10" s="2465">
        <v>14</v>
      </c>
      <c r="S10" s="2466">
        <v>11</v>
      </c>
    </row>
    <row r="11" spans="1:114" s="493" customFormat="1" ht="19.5" customHeight="1" thickBot="1" x14ac:dyDescent="0.25">
      <c r="A11" s="2468"/>
      <c r="B11" s="264" t="s">
        <v>220</v>
      </c>
      <c r="C11" s="509"/>
      <c r="D11" s="35">
        <f t="shared" ref="D11:H11" si="0">D12+D13</f>
        <v>9817754</v>
      </c>
      <c r="E11" s="36">
        <f t="shared" si="0"/>
        <v>75251</v>
      </c>
      <c r="F11" s="36">
        <f t="shared" si="0"/>
        <v>1262042</v>
      </c>
      <c r="G11" s="36">
        <f t="shared" si="0"/>
        <v>5143901</v>
      </c>
      <c r="H11" s="37">
        <f t="shared" si="0"/>
        <v>3336560</v>
      </c>
      <c r="I11" s="35">
        <f t="shared" ref="I11:N11" si="1">I12+I13</f>
        <v>9289098.9600000009</v>
      </c>
      <c r="J11" s="36">
        <f t="shared" si="1"/>
        <v>75251</v>
      </c>
      <c r="K11" s="36">
        <f t="shared" si="1"/>
        <v>733386.96</v>
      </c>
      <c r="L11" s="36">
        <f t="shared" si="1"/>
        <v>5143901</v>
      </c>
      <c r="M11" s="37">
        <f t="shared" si="1"/>
        <v>3336560</v>
      </c>
      <c r="N11" s="35">
        <f t="shared" si="1"/>
        <v>954957.82000000007</v>
      </c>
      <c r="O11" s="267">
        <f>N11/D11*100</f>
        <v>9.7268460790522973</v>
      </c>
      <c r="P11" s="36">
        <f>P12+P13</f>
        <v>146319.85999999999</v>
      </c>
      <c r="Q11" s="267">
        <f>P11/G11*100</f>
        <v>2.8445310281049343</v>
      </c>
      <c r="R11" s="1414">
        <f>+P11-L11*0.25</f>
        <v>-1139655.3900000001</v>
      </c>
      <c r="S11" s="2469"/>
    </row>
    <row r="12" spans="1:114" s="493" customFormat="1" ht="16.5" customHeight="1" thickTop="1" x14ac:dyDescent="0.2">
      <c r="A12" s="2468"/>
      <c r="B12" s="273" t="s">
        <v>221</v>
      </c>
      <c r="C12" s="1960"/>
      <c r="D12" s="1961">
        <f t="shared" ref="D12:H12" si="2">D23+D32+D41+D48</f>
        <v>9783984</v>
      </c>
      <c r="E12" s="1962">
        <f t="shared" si="2"/>
        <v>75251</v>
      </c>
      <c r="F12" s="1962">
        <f t="shared" si="2"/>
        <v>1262042</v>
      </c>
      <c r="G12" s="1962">
        <f t="shared" si="2"/>
        <v>5110131</v>
      </c>
      <c r="H12" s="2024">
        <f t="shared" si="2"/>
        <v>3336560</v>
      </c>
      <c r="I12" s="1961">
        <f t="shared" ref="I12:M12" si="3">I23+I32+I41+I48</f>
        <v>9255328.9600000009</v>
      </c>
      <c r="J12" s="1962">
        <f t="shared" si="3"/>
        <v>75251</v>
      </c>
      <c r="K12" s="1962">
        <f t="shared" si="3"/>
        <v>733386.96</v>
      </c>
      <c r="L12" s="1962">
        <f t="shared" si="3"/>
        <v>5110131</v>
      </c>
      <c r="M12" s="2024">
        <f t="shared" si="3"/>
        <v>3336560</v>
      </c>
      <c r="N12" s="1961">
        <f>N23+N32+N41+N48</f>
        <v>921187.82000000007</v>
      </c>
      <c r="O12" s="2093">
        <f>N12/D12*100</f>
        <v>9.4152629440113564</v>
      </c>
      <c r="P12" s="1962">
        <f>P23+P32+P41+P48</f>
        <v>112549.86</v>
      </c>
      <c r="Q12" s="2093">
        <f>P12/G12*100</f>
        <v>2.2024848286668188</v>
      </c>
      <c r="R12" s="1423">
        <f>+P12-L12*0.25</f>
        <v>-1164982.8899999999</v>
      </c>
      <c r="S12" s="2469"/>
    </row>
    <row r="13" spans="1:114" s="493" customFormat="1" ht="15" customHeight="1" thickBot="1" x14ac:dyDescent="0.25">
      <c r="A13" s="2468"/>
      <c r="B13" s="523" t="s">
        <v>222</v>
      </c>
      <c r="C13" s="524"/>
      <c r="D13" s="2470">
        <f t="shared" ref="D13:H13" si="4">+D55</f>
        <v>33770</v>
      </c>
      <c r="E13" s="1420">
        <f t="shared" si="4"/>
        <v>0</v>
      </c>
      <c r="F13" s="1420">
        <f t="shared" si="4"/>
        <v>0</v>
      </c>
      <c r="G13" s="1420">
        <f t="shared" si="4"/>
        <v>33770</v>
      </c>
      <c r="H13" s="1421">
        <f t="shared" si="4"/>
        <v>0</v>
      </c>
      <c r="I13" s="2470">
        <f t="shared" ref="I13:N13" si="5">+I55</f>
        <v>33770</v>
      </c>
      <c r="J13" s="1420">
        <f t="shared" si="5"/>
        <v>0</v>
      </c>
      <c r="K13" s="1420">
        <f t="shared" si="5"/>
        <v>0</v>
      </c>
      <c r="L13" s="1420">
        <f t="shared" si="5"/>
        <v>33770</v>
      </c>
      <c r="M13" s="1421">
        <f t="shared" si="5"/>
        <v>0</v>
      </c>
      <c r="N13" s="2470">
        <f t="shared" si="5"/>
        <v>33770</v>
      </c>
      <c r="O13" s="290">
        <f t="shared" ref="O13:O56" si="6">N13/D13*100</f>
        <v>100</v>
      </c>
      <c r="P13" s="1420">
        <f>+P55</f>
        <v>33770</v>
      </c>
      <c r="Q13" s="290">
        <f>P13/G13*100</f>
        <v>100</v>
      </c>
      <c r="R13" s="2471">
        <f>+P13-L13*0.25</f>
        <v>25327.5</v>
      </c>
      <c r="S13" s="2469"/>
    </row>
    <row r="14" spans="1:114" ht="18.75" customHeight="1" x14ac:dyDescent="0.2">
      <c r="A14" s="3276"/>
      <c r="B14" s="1424" t="s">
        <v>3</v>
      </c>
      <c r="C14" s="1425"/>
      <c r="D14" s="2472">
        <f t="shared" ref="D14:H14" si="7">D15+D17</f>
        <v>9817754</v>
      </c>
      <c r="E14" s="1299">
        <f t="shared" si="7"/>
        <v>75251</v>
      </c>
      <c r="F14" s="2473">
        <f t="shared" si="7"/>
        <v>1262042</v>
      </c>
      <c r="G14" s="2474">
        <f t="shared" si="7"/>
        <v>5143901</v>
      </c>
      <c r="H14" s="2475">
        <f t="shared" si="7"/>
        <v>3336560</v>
      </c>
      <c r="I14" s="2472">
        <f t="shared" ref="I14:N14" si="8">I15+I17</f>
        <v>9289098.959999999</v>
      </c>
      <c r="J14" s="1299">
        <f t="shared" si="8"/>
        <v>75251</v>
      </c>
      <c r="K14" s="2473">
        <f t="shared" si="8"/>
        <v>733386.96</v>
      </c>
      <c r="L14" s="2474">
        <f t="shared" si="8"/>
        <v>5143901</v>
      </c>
      <c r="M14" s="2475">
        <f t="shared" si="8"/>
        <v>3336560</v>
      </c>
      <c r="N14" s="2472">
        <f t="shared" si="8"/>
        <v>954957.82</v>
      </c>
      <c r="O14" s="2108">
        <f t="shared" si="6"/>
        <v>9.7268460790522955</v>
      </c>
      <c r="P14" s="2476">
        <f>P15+P17</f>
        <v>146319.86000000002</v>
      </c>
      <c r="Q14" s="2108">
        <f t="shared" ref="Q14:Q15" si="9">P14/G14*100</f>
        <v>2.8445310281049343</v>
      </c>
      <c r="R14" s="2477">
        <f>+P14-L14*0.25</f>
        <v>-1139655.3899999999</v>
      </c>
      <c r="S14" s="3277" t="s">
        <v>97</v>
      </c>
      <c r="T14" s="300"/>
    </row>
    <row r="15" spans="1:114" ht="12" customHeight="1" x14ac:dyDescent="0.2">
      <c r="A15" s="2955"/>
      <c r="B15" s="1303" t="s">
        <v>18</v>
      </c>
      <c r="C15" s="3280" t="s">
        <v>97</v>
      </c>
      <c r="D15" s="2478">
        <f>D16</f>
        <v>211075</v>
      </c>
      <c r="E15" s="1305">
        <f>+E16</f>
        <v>11289</v>
      </c>
      <c r="F15" s="2479">
        <f>+F16</f>
        <v>34987</v>
      </c>
      <c r="G15" s="2480">
        <f>+G16</f>
        <v>134049</v>
      </c>
      <c r="H15" s="1306">
        <f>+H16</f>
        <v>30750</v>
      </c>
      <c r="I15" s="2478">
        <f>I16</f>
        <v>204996.28999999998</v>
      </c>
      <c r="J15" s="1305">
        <f>+J16</f>
        <v>11289</v>
      </c>
      <c r="K15" s="2479">
        <f>+K16</f>
        <v>28908.29</v>
      </c>
      <c r="L15" s="2480">
        <f>+L16</f>
        <v>134049</v>
      </c>
      <c r="M15" s="1306">
        <f>+M16</f>
        <v>30750</v>
      </c>
      <c r="N15" s="2481">
        <f>+N16</f>
        <v>49258.86</v>
      </c>
      <c r="O15" s="2120">
        <f t="shared" si="6"/>
        <v>23.337136089067869</v>
      </c>
      <c r="P15" s="2479">
        <f>+P16</f>
        <v>9061.57</v>
      </c>
      <c r="Q15" s="2120">
        <f t="shared" si="9"/>
        <v>6.7598937701885129</v>
      </c>
      <c r="R15" s="2482">
        <f t="shared" ref="R15:R53" si="10">+P15-L15*0.25</f>
        <v>-24450.68</v>
      </c>
      <c r="S15" s="3278"/>
      <c r="T15" s="300"/>
    </row>
    <row r="16" spans="1:114" ht="15" customHeight="1" x14ac:dyDescent="0.2">
      <c r="A16" s="2955"/>
      <c r="B16" s="557" t="s">
        <v>5</v>
      </c>
      <c r="C16" s="3281"/>
      <c r="D16" s="2483">
        <f t="shared" ref="D16:H16" si="11">D25+D34</f>
        <v>211075</v>
      </c>
      <c r="E16" s="1312">
        <f t="shared" si="11"/>
        <v>11289</v>
      </c>
      <c r="F16" s="2484">
        <f t="shared" si="11"/>
        <v>34987</v>
      </c>
      <c r="G16" s="2485">
        <f t="shared" si="11"/>
        <v>134049</v>
      </c>
      <c r="H16" s="1313">
        <f t="shared" si="11"/>
        <v>30750</v>
      </c>
      <c r="I16" s="2483">
        <f t="shared" ref="I16:P16" si="12">I25+I34</f>
        <v>204996.28999999998</v>
      </c>
      <c r="J16" s="1312">
        <f t="shared" si="12"/>
        <v>11289</v>
      </c>
      <c r="K16" s="2484">
        <f t="shared" si="12"/>
        <v>28908.29</v>
      </c>
      <c r="L16" s="2485">
        <f t="shared" si="12"/>
        <v>134049</v>
      </c>
      <c r="M16" s="1313">
        <f t="shared" si="12"/>
        <v>30750</v>
      </c>
      <c r="N16" s="2483">
        <f t="shared" si="12"/>
        <v>49258.86</v>
      </c>
      <c r="O16" s="2126">
        <f>N16/D16*100</f>
        <v>23.337136089067869</v>
      </c>
      <c r="P16" s="2484">
        <f t="shared" si="12"/>
        <v>9061.57</v>
      </c>
      <c r="Q16" s="2126">
        <f>P16/G16*100</f>
        <v>6.7598937701885129</v>
      </c>
      <c r="R16" s="2486">
        <f t="shared" si="10"/>
        <v>-24450.68</v>
      </c>
      <c r="S16" s="3278"/>
      <c r="T16" s="300"/>
    </row>
    <row r="17" spans="1:20" ht="14.25" customHeight="1" x14ac:dyDescent="0.2">
      <c r="A17" s="2955"/>
      <c r="B17" s="539" t="s">
        <v>13</v>
      </c>
      <c r="C17" s="3281"/>
      <c r="D17" s="2487">
        <f t="shared" ref="D17:H17" si="13">D18</f>
        <v>9606679</v>
      </c>
      <c r="E17" s="1305">
        <f t="shared" si="13"/>
        <v>63962</v>
      </c>
      <c r="F17" s="2479">
        <f t="shared" si="13"/>
        <v>1227055</v>
      </c>
      <c r="G17" s="2488">
        <f t="shared" si="13"/>
        <v>5009852</v>
      </c>
      <c r="H17" s="1306">
        <f t="shared" si="13"/>
        <v>3305810</v>
      </c>
      <c r="I17" s="2487">
        <f t="shared" ref="I17:P17" si="14">I18</f>
        <v>9084102.6699999999</v>
      </c>
      <c r="J17" s="1305">
        <f t="shared" si="14"/>
        <v>63962</v>
      </c>
      <c r="K17" s="2479">
        <f t="shared" si="14"/>
        <v>704478.66999999993</v>
      </c>
      <c r="L17" s="2488">
        <f t="shared" si="14"/>
        <v>5009852</v>
      </c>
      <c r="M17" s="1306">
        <f t="shared" si="14"/>
        <v>3305810</v>
      </c>
      <c r="N17" s="2481">
        <f t="shared" si="14"/>
        <v>905698.96</v>
      </c>
      <c r="O17" s="2489">
        <f t="shared" si="6"/>
        <v>9.427804967772941</v>
      </c>
      <c r="P17" s="2479">
        <f t="shared" si="14"/>
        <v>137258.29</v>
      </c>
      <c r="Q17" s="2489">
        <f t="shared" ref="Q17:Q60" si="15">P17/G17*100</f>
        <v>2.7397673623891485</v>
      </c>
      <c r="R17" s="2490">
        <f t="shared" si="10"/>
        <v>-1115204.71</v>
      </c>
      <c r="S17" s="3278"/>
      <c r="T17" s="300"/>
    </row>
    <row r="18" spans="1:20" ht="13.5" customHeight="1" x14ac:dyDescent="0.2">
      <c r="A18" s="2955"/>
      <c r="B18" s="2491" t="s">
        <v>15</v>
      </c>
      <c r="C18" s="3282"/>
      <c r="D18" s="2492">
        <f t="shared" ref="D18:H18" si="16">D27+D36+D43+D50+D57</f>
        <v>9606679</v>
      </c>
      <c r="E18" s="2493">
        <f t="shared" si="16"/>
        <v>63962</v>
      </c>
      <c r="F18" s="2493">
        <f t="shared" si="16"/>
        <v>1227055</v>
      </c>
      <c r="G18" s="2493">
        <f t="shared" si="16"/>
        <v>5009852</v>
      </c>
      <c r="H18" s="2494">
        <f t="shared" si="16"/>
        <v>3305810</v>
      </c>
      <c r="I18" s="2492">
        <f t="shared" ref="I18:P18" si="17">I27+I36+I43+I50+I57</f>
        <v>9084102.6699999999</v>
      </c>
      <c r="J18" s="2493">
        <f t="shared" si="17"/>
        <v>63962</v>
      </c>
      <c r="K18" s="2493">
        <f t="shared" si="17"/>
        <v>704478.66999999993</v>
      </c>
      <c r="L18" s="2493">
        <f t="shared" si="17"/>
        <v>5009852</v>
      </c>
      <c r="M18" s="2494">
        <f t="shared" si="17"/>
        <v>3305810</v>
      </c>
      <c r="N18" s="2492">
        <f t="shared" si="17"/>
        <v>905698.96</v>
      </c>
      <c r="O18" s="2495">
        <f t="shared" si="6"/>
        <v>9.427804967772941</v>
      </c>
      <c r="P18" s="1318">
        <f t="shared" si="17"/>
        <v>137258.29</v>
      </c>
      <c r="Q18" s="2495">
        <f t="shared" si="15"/>
        <v>2.7397673623891485</v>
      </c>
      <c r="R18" s="2496">
        <f t="shared" si="10"/>
        <v>-1115204.71</v>
      </c>
      <c r="S18" s="3278"/>
      <c r="T18" s="300"/>
    </row>
    <row r="19" spans="1:20" ht="18.75" customHeight="1" x14ac:dyDescent="0.2">
      <c r="A19" s="2955"/>
      <c r="B19" s="565" t="s">
        <v>17</v>
      </c>
      <c r="C19" s="566"/>
      <c r="D19" s="2497">
        <f>D20</f>
        <v>9606679</v>
      </c>
      <c r="E19" s="921">
        <f t="shared" ref="E19:H20" si="18">E20</f>
        <v>1291</v>
      </c>
      <c r="F19" s="1319">
        <f t="shared" si="18"/>
        <v>1124590</v>
      </c>
      <c r="G19" s="2498">
        <f t="shared" si="18"/>
        <v>4582340</v>
      </c>
      <c r="H19" s="2499">
        <f t="shared" si="18"/>
        <v>3898458</v>
      </c>
      <c r="I19" s="2497">
        <f>I20</f>
        <v>8645807</v>
      </c>
      <c r="J19" s="921">
        <f t="shared" ref="J19:P20" si="19">J20</f>
        <v>1291</v>
      </c>
      <c r="K19" s="1319">
        <f t="shared" si="19"/>
        <v>163718</v>
      </c>
      <c r="L19" s="2498">
        <f t="shared" si="19"/>
        <v>4582340</v>
      </c>
      <c r="M19" s="2499">
        <f t="shared" si="19"/>
        <v>3898458</v>
      </c>
      <c r="N19" s="1273">
        <f t="shared" si="19"/>
        <v>384936</v>
      </c>
      <c r="O19" s="2500">
        <f t="shared" si="6"/>
        <v>4.0069622395002478</v>
      </c>
      <c r="P19" s="921">
        <f t="shared" si="19"/>
        <v>219927</v>
      </c>
      <c r="Q19" s="2500">
        <f t="shared" si="15"/>
        <v>4.7994474438823831</v>
      </c>
      <c r="R19" s="2501">
        <f t="shared" si="10"/>
        <v>-925658</v>
      </c>
      <c r="S19" s="3278"/>
      <c r="T19" s="300"/>
    </row>
    <row r="20" spans="1:20" ht="15" customHeight="1" x14ac:dyDescent="0.2">
      <c r="A20" s="2955"/>
      <c r="B20" s="590" t="s">
        <v>13</v>
      </c>
      <c r="C20" s="3283" t="s">
        <v>97</v>
      </c>
      <c r="D20" s="2502">
        <f>D21</f>
        <v>9606679</v>
      </c>
      <c r="E20" s="1324">
        <f t="shared" si="18"/>
        <v>1291</v>
      </c>
      <c r="F20" s="1322">
        <f t="shared" si="18"/>
        <v>1124590</v>
      </c>
      <c r="G20" s="2503">
        <f t="shared" si="18"/>
        <v>4582340</v>
      </c>
      <c r="H20" s="2504">
        <f t="shared" si="18"/>
        <v>3898458</v>
      </c>
      <c r="I20" s="2502">
        <f>I21</f>
        <v>8645807</v>
      </c>
      <c r="J20" s="1324">
        <f t="shared" si="19"/>
        <v>1291</v>
      </c>
      <c r="K20" s="1322">
        <f t="shared" si="19"/>
        <v>163718</v>
      </c>
      <c r="L20" s="2503">
        <f t="shared" si="19"/>
        <v>4582340</v>
      </c>
      <c r="M20" s="2504">
        <f t="shared" si="19"/>
        <v>3898458</v>
      </c>
      <c r="N20" s="2505">
        <f t="shared" si="19"/>
        <v>384936</v>
      </c>
      <c r="O20" s="2506">
        <f t="shared" si="6"/>
        <v>4.0069622395002478</v>
      </c>
      <c r="P20" s="1324">
        <f t="shared" si="19"/>
        <v>219927</v>
      </c>
      <c r="Q20" s="2506">
        <f t="shared" si="15"/>
        <v>4.7994474438823831</v>
      </c>
      <c r="R20" s="2507">
        <f t="shared" si="10"/>
        <v>-925658</v>
      </c>
      <c r="S20" s="3278"/>
      <c r="T20" s="300"/>
    </row>
    <row r="21" spans="1:20" ht="15" customHeight="1" thickBot="1" x14ac:dyDescent="0.25">
      <c r="A21" s="2956"/>
      <c r="B21" s="2491" t="s">
        <v>15</v>
      </c>
      <c r="C21" s="3284"/>
      <c r="D21" s="2508">
        <f t="shared" ref="D21:H21" si="20">D30+D39+D46+D53</f>
        <v>9606679</v>
      </c>
      <c r="E21" s="1330">
        <f t="shared" si="20"/>
        <v>1291</v>
      </c>
      <c r="F21" s="1328">
        <f t="shared" si="20"/>
        <v>1124590</v>
      </c>
      <c r="G21" s="2509">
        <f t="shared" si="20"/>
        <v>4582340</v>
      </c>
      <c r="H21" s="2510">
        <f t="shared" si="20"/>
        <v>3898458</v>
      </c>
      <c r="I21" s="2508">
        <f t="shared" ref="I21:P21" si="21">I30+I39+I46+I53</f>
        <v>8645807</v>
      </c>
      <c r="J21" s="1330">
        <f t="shared" si="21"/>
        <v>1291</v>
      </c>
      <c r="K21" s="1328">
        <f t="shared" si="21"/>
        <v>163718</v>
      </c>
      <c r="L21" s="2509">
        <f t="shared" si="21"/>
        <v>4582340</v>
      </c>
      <c r="M21" s="2510">
        <f t="shared" si="21"/>
        <v>3898458</v>
      </c>
      <c r="N21" s="1327">
        <f t="shared" si="21"/>
        <v>384936</v>
      </c>
      <c r="O21" s="2511">
        <f>N21/D21*100</f>
        <v>4.0069622395002478</v>
      </c>
      <c r="P21" s="1330">
        <f t="shared" si="21"/>
        <v>219927</v>
      </c>
      <c r="Q21" s="2511">
        <f t="shared" si="15"/>
        <v>4.7994474438823831</v>
      </c>
      <c r="R21" s="2512">
        <f t="shared" si="10"/>
        <v>-925658</v>
      </c>
      <c r="S21" s="3279"/>
      <c r="T21" s="300"/>
    </row>
    <row r="22" spans="1:20" ht="54" customHeight="1" x14ac:dyDescent="0.2">
      <c r="A22" s="3285" t="s">
        <v>40</v>
      </c>
      <c r="B22" s="1806" t="s">
        <v>261</v>
      </c>
      <c r="C22" s="1807" t="s">
        <v>233</v>
      </c>
      <c r="D22" s="1808"/>
      <c r="E22" s="1810"/>
      <c r="F22" s="1810"/>
      <c r="G22" s="1810"/>
      <c r="H22" s="1811"/>
      <c r="I22" s="1808"/>
      <c r="J22" s="1810"/>
      <c r="K22" s="1810"/>
      <c r="L22" s="1810"/>
      <c r="M22" s="1811"/>
      <c r="N22" s="1812"/>
      <c r="O22" s="1813"/>
      <c r="P22" s="1814"/>
      <c r="Q22" s="1813"/>
      <c r="R22" s="2513"/>
      <c r="S22" s="3073" t="s">
        <v>262</v>
      </c>
      <c r="T22" s="300"/>
    </row>
    <row r="23" spans="1:20" ht="15" customHeight="1" x14ac:dyDescent="0.2">
      <c r="A23" s="3071"/>
      <c r="B23" s="1815" t="s">
        <v>3</v>
      </c>
      <c r="C23" s="1816"/>
      <c r="D23" s="1817">
        <f t="shared" ref="D23" si="22">+D24+D26</f>
        <v>607164</v>
      </c>
      <c r="E23" s="1823">
        <f>+E24+E26</f>
        <v>75251</v>
      </c>
      <c r="F23" s="1820">
        <f>+F24+F26</f>
        <v>120269</v>
      </c>
      <c r="G23" s="1820">
        <f t="shared" ref="G23:H23" si="23">+G24+G26</f>
        <v>411644</v>
      </c>
      <c r="H23" s="1821">
        <f t="shared" si="23"/>
        <v>0</v>
      </c>
      <c r="I23" s="1817">
        <f t="shared" ref="I23:N23" si="24">+I24+I26</f>
        <v>576114.11</v>
      </c>
      <c r="J23" s="1823">
        <f>+J24+J26</f>
        <v>75251</v>
      </c>
      <c r="K23" s="828">
        <f>K24+K26</f>
        <v>89219.109999999986</v>
      </c>
      <c r="L23" s="1820">
        <f t="shared" si="24"/>
        <v>411644</v>
      </c>
      <c r="M23" s="1821">
        <f t="shared" si="24"/>
        <v>0</v>
      </c>
      <c r="N23" s="2514">
        <f t="shared" si="24"/>
        <v>212161.15999999997</v>
      </c>
      <c r="O23" s="2515">
        <f t="shared" si="6"/>
        <v>34.942974221132999</v>
      </c>
      <c r="P23" s="1823">
        <f>P24+P26</f>
        <v>47691.05</v>
      </c>
      <c r="Q23" s="2515">
        <f t="shared" si="15"/>
        <v>11.585508351876864</v>
      </c>
      <c r="R23" s="2516">
        <f t="shared" si="10"/>
        <v>-55219.95</v>
      </c>
      <c r="S23" s="3074"/>
      <c r="T23" s="300"/>
    </row>
    <row r="24" spans="1:20" ht="15" customHeight="1" x14ac:dyDescent="0.2">
      <c r="A24" s="3071"/>
      <c r="B24" s="1825" t="s">
        <v>18</v>
      </c>
      <c r="C24" s="3054" t="s">
        <v>263</v>
      </c>
      <c r="D24" s="774">
        <f t="shared" ref="D24:N24" si="25">+D25</f>
        <v>91075</v>
      </c>
      <c r="E24" s="775">
        <f t="shared" si="25"/>
        <v>11289</v>
      </c>
      <c r="F24" s="775">
        <f t="shared" si="25"/>
        <v>18040</v>
      </c>
      <c r="G24" s="775">
        <f t="shared" si="25"/>
        <v>61746</v>
      </c>
      <c r="H24" s="876">
        <f t="shared" si="25"/>
        <v>0</v>
      </c>
      <c r="I24" s="774">
        <f t="shared" si="25"/>
        <v>86417.93</v>
      </c>
      <c r="J24" s="775">
        <f t="shared" si="25"/>
        <v>11289</v>
      </c>
      <c r="K24" s="1826">
        <f>K25</f>
        <v>13382.93</v>
      </c>
      <c r="L24" s="775">
        <f t="shared" si="25"/>
        <v>61746</v>
      </c>
      <c r="M24" s="876">
        <f t="shared" si="25"/>
        <v>0</v>
      </c>
      <c r="N24" s="811">
        <f t="shared" si="25"/>
        <v>31825.55</v>
      </c>
      <c r="O24" s="2517">
        <f t="shared" si="6"/>
        <v>34.944331594839419</v>
      </c>
      <c r="P24" s="1826">
        <f>P25</f>
        <v>7153.62</v>
      </c>
      <c r="Q24" s="2517">
        <f t="shared" si="15"/>
        <v>11.585560198231464</v>
      </c>
      <c r="R24" s="2518">
        <f t="shared" si="10"/>
        <v>-8282.880000000001</v>
      </c>
      <c r="S24" s="3074"/>
      <c r="T24" s="300"/>
    </row>
    <row r="25" spans="1:20" ht="15" customHeight="1" x14ac:dyDescent="0.2">
      <c r="A25" s="3071"/>
      <c r="B25" s="696" t="s">
        <v>5</v>
      </c>
      <c r="C25" s="3055"/>
      <c r="D25" s="1827">
        <f>+E25+F25+G25+H25</f>
        <v>91075</v>
      </c>
      <c r="E25" s="699">
        <v>11289</v>
      </c>
      <c r="F25" s="699">
        <v>18040</v>
      </c>
      <c r="G25" s="699">
        <v>61746</v>
      </c>
      <c r="H25" s="1828">
        <v>0</v>
      </c>
      <c r="I25" s="1827">
        <f>+J25+K25+L25+M25</f>
        <v>86417.93</v>
      </c>
      <c r="J25" s="699">
        <v>11289</v>
      </c>
      <c r="K25" s="699">
        <v>13382.93</v>
      </c>
      <c r="L25" s="699">
        <v>61746</v>
      </c>
      <c r="M25" s="1828">
        <v>0</v>
      </c>
      <c r="N25" s="1829">
        <f>P25+J25+K25</f>
        <v>31825.55</v>
      </c>
      <c r="O25" s="2187">
        <f t="shared" si="6"/>
        <v>34.944331594839419</v>
      </c>
      <c r="P25" s="699">
        <v>7153.62</v>
      </c>
      <c r="Q25" s="2187">
        <f t="shared" si="15"/>
        <v>11.585560198231464</v>
      </c>
      <c r="R25" s="2188">
        <f t="shared" si="10"/>
        <v>-8282.880000000001</v>
      </c>
      <c r="S25" s="3074"/>
      <c r="T25" s="300"/>
    </row>
    <row r="26" spans="1:20" ht="15" customHeight="1" x14ac:dyDescent="0.2">
      <c r="A26" s="3071"/>
      <c r="B26" s="703" t="s">
        <v>13</v>
      </c>
      <c r="C26" s="3055"/>
      <c r="D26" s="704">
        <f t="shared" ref="D26:N26" si="26">+D27</f>
        <v>516089</v>
      </c>
      <c r="E26" s="821">
        <f t="shared" si="26"/>
        <v>63962</v>
      </c>
      <c r="F26" s="821">
        <f t="shared" si="26"/>
        <v>102229</v>
      </c>
      <c r="G26" s="821">
        <f t="shared" si="26"/>
        <v>349898</v>
      </c>
      <c r="H26" s="822">
        <f t="shared" si="26"/>
        <v>0</v>
      </c>
      <c r="I26" s="704">
        <f t="shared" si="26"/>
        <v>489696.18</v>
      </c>
      <c r="J26" s="821">
        <f t="shared" si="26"/>
        <v>63962</v>
      </c>
      <c r="K26" s="1109">
        <f>K27</f>
        <v>75836.179999999993</v>
      </c>
      <c r="L26" s="821">
        <f t="shared" si="26"/>
        <v>349898</v>
      </c>
      <c r="M26" s="822">
        <f t="shared" si="26"/>
        <v>0</v>
      </c>
      <c r="N26" s="847">
        <f t="shared" si="26"/>
        <v>180335.61</v>
      </c>
      <c r="O26" s="2190">
        <f t="shared" si="6"/>
        <v>34.942734683358871</v>
      </c>
      <c r="P26" s="1109">
        <f>P27</f>
        <v>40537.43</v>
      </c>
      <c r="Q26" s="2190">
        <f t="shared" si="15"/>
        <v>11.585499202624765</v>
      </c>
      <c r="R26" s="2191">
        <f t="shared" si="10"/>
        <v>-46937.07</v>
      </c>
      <c r="S26" s="3074"/>
      <c r="T26" s="300"/>
    </row>
    <row r="27" spans="1:20" ht="15" customHeight="1" x14ac:dyDescent="0.2">
      <c r="A27" s="3071"/>
      <c r="B27" s="1830" t="s">
        <v>15</v>
      </c>
      <c r="C27" s="3076"/>
      <c r="D27" s="1827">
        <f>+E27+F27+G27+H27</f>
        <v>516089</v>
      </c>
      <c r="E27" s="699">
        <v>63962</v>
      </c>
      <c r="F27" s="1371">
        <v>102229</v>
      </c>
      <c r="G27" s="1371">
        <v>349898</v>
      </c>
      <c r="H27" s="1358">
        <v>0</v>
      </c>
      <c r="I27" s="1827">
        <f>+J27+K27+L27+M27</f>
        <v>489696.18</v>
      </c>
      <c r="J27" s="699">
        <v>63962</v>
      </c>
      <c r="K27" s="1833">
        <f>15134+60702.18</f>
        <v>75836.179999999993</v>
      </c>
      <c r="L27" s="1371">
        <v>349898</v>
      </c>
      <c r="M27" s="1358">
        <v>0</v>
      </c>
      <c r="N27" s="1829">
        <f>P27+J27+K27</f>
        <v>180335.61</v>
      </c>
      <c r="O27" s="2187">
        <f t="shared" si="6"/>
        <v>34.942734683358871</v>
      </c>
      <c r="P27" s="1833">
        <v>40537.43</v>
      </c>
      <c r="Q27" s="2187">
        <f>P27/G27*100</f>
        <v>11.585499202624765</v>
      </c>
      <c r="R27" s="2519">
        <f t="shared" si="10"/>
        <v>-46937.07</v>
      </c>
      <c r="S27" s="3074"/>
      <c r="T27" s="300"/>
    </row>
    <row r="28" spans="1:20" ht="15" customHeight="1" x14ac:dyDescent="0.2">
      <c r="A28" s="3071"/>
      <c r="B28" s="565" t="s">
        <v>17</v>
      </c>
      <c r="C28" s="1816"/>
      <c r="D28" s="1834">
        <f>+D29</f>
        <v>516089</v>
      </c>
      <c r="E28" s="1823">
        <f t="shared" ref="E28:H29" si="27">+E29</f>
        <v>1291</v>
      </c>
      <c r="F28" s="1820">
        <f t="shared" si="27"/>
        <v>77900</v>
      </c>
      <c r="G28" s="1820">
        <f t="shared" si="27"/>
        <v>250000</v>
      </c>
      <c r="H28" s="1821">
        <f t="shared" si="27"/>
        <v>186898</v>
      </c>
      <c r="I28" s="1834">
        <f>+I29</f>
        <v>515995</v>
      </c>
      <c r="J28" s="1823">
        <f t="shared" ref="J28:M29" si="28">+J29</f>
        <v>1291</v>
      </c>
      <c r="K28" s="828">
        <f>K29</f>
        <v>77806</v>
      </c>
      <c r="L28" s="1820">
        <f t="shared" si="28"/>
        <v>250000</v>
      </c>
      <c r="M28" s="1821">
        <f t="shared" si="28"/>
        <v>186898</v>
      </c>
      <c r="N28" s="1835">
        <f>N29</f>
        <v>79097</v>
      </c>
      <c r="O28" s="2520">
        <f t="shared" si="6"/>
        <v>15.326232490907577</v>
      </c>
      <c r="P28" s="828">
        <f>P29</f>
        <v>0</v>
      </c>
      <c r="Q28" s="2520">
        <f t="shared" si="15"/>
        <v>0</v>
      </c>
      <c r="R28" s="2516">
        <f t="shared" si="10"/>
        <v>-62500</v>
      </c>
      <c r="S28" s="3074"/>
      <c r="T28" s="300"/>
    </row>
    <row r="29" spans="1:20" ht="15" customHeight="1" x14ac:dyDescent="0.2">
      <c r="A29" s="3071"/>
      <c r="B29" s="703" t="s">
        <v>13</v>
      </c>
      <c r="C29" s="3077" t="s">
        <v>264</v>
      </c>
      <c r="D29" s="1837">
        <f>+D30</f>
        <v>516089</v>
      </c>
      <c r="E29" s="705">
        <f t="shared" si="27"/>
        <v>1291</v>
      </c>
      <c r="F29" s="705">
        <f t="shared" si="27"/>
        <v>77900</v>
      </c>
      <c r="G29" s="705">
        <f t="shared" si="27"/>
        <v>250000</v>
      </c>
      <c r="H29" s="825">
        <f t="shared" si="27"/>
        <v>186898</v>
      </c>
      <c r="I29" s="1837">
        <f>+I30</f>
        <v>515995</v>
      </c>
      <c r="J29" s="705">
        <f t="shared" si="28"/>
        <v>1291</v>
      </c>
      <c r="K29" s="1840">
        <f>K30</f>
        <v>77806</v>
      </c>
      <c r="L29" s="705">
        <f t="shared" si="28"/>
        <v>250000</v>
      </c>
      <c r="M29" s="825">
        <f t="shared" si="28"/>
        <v>186898</v>
      </c>
      <c r="N29" s="1838">
        <f>N30</f>
        <v>79097</v>
      </c>
      <c r="O29" s="2521">
        <f t="shared" si="6"/>
        <v>15.326232490907577</v>
      </c>
      <c r="P29" s="1840">
        <f>P30</f>
        <v>0</v>
      </c>
      <c r="Q29" s="2521">
        <f t="shared" si="15"/>
        <v>0</v>
      </c>
      <c r="R29" s="2522">
        <f t="shared" si="10"/>
        <v>-62500</v>
      </c>
      <c r="S29" s="3074"/>
      <c r="T29" s="300"/>
    </row>
    <row r="30" spans="1:20" s="2526" customFormat="1" ht="15" customHeight="1" thickBot="1" x14ac:dyDescent="0.25">
      <c r="A30" s="3072"/>
      <c r="B30" s="2523" t="s">
        <v>15</v>
      </c>
      <c r="C30" s="3056"/>
      <c r="D30" s="718">
        <f>+E30+F30+G30+H30</f>
        <v>516089</v>
      </c>
      <c r="E30" s="720">
        <v>1291</v>
      </c>
      <c r="F30" s="720">
        <v>77900</v>
      </c>
      <c r="G30" s="720">
        <v>250000</v>
      </c>
      <c r="H30" s="1116">
        <v>186898</v>
      </c>
      <c r="I30" s="718">
        <f>+J30+K30+L30+M30</f>
        <v>515995</v>
      </c>
      <c r="J30" s="720">
        <v>1291</v>
      </c>
      <c r="K30" s="1117">
        <v>77806</v>
      </c>
      <c r="L30" s="720">
        <v>250000</v>
      </c>
      <c r="M30" s="1116">
        <v>186898</v>
      </c>
      <c r="N30" s="2524">
        <f>P30+J30+K30</f>
        <v>79097</v>
      </c>
      <c r="O30" s="1845">
        <f t="shared" si="6"/>
        <v>15.326232490907577</v>
      </c>
      <c r="P30" s="1117"/>
      <c r="Q30" s="1845">
        <f t="shared" si="15"/>
        <v>0</v>
      </c>
      <c r="R30" s="2217">
        <f t="shared" si="10"/>
        <v>-62500</v>
      </c>
      <c r="S30" s="3075"/>
      <c r="T30" s="2525"/>
    </row>
    <row r="31" spans="1:20" ht="57" customHeight="1" x14ac:dyDescent="0.2">
      <c r="A31" s="3285" t="s">
        <v>43</v>
      </c>
      <c r="B31" s="1806" t="s">
        <v>265</v>
      </c>
      <c r="C31" s="1807" t="s">
        <v>233</v>
      </c>
      <c r="D31" s="1808"/>
      <c r="E31" s="1810"/>
      <c r="F31" s="1810"/>
      <c r="G31" s="1810"/>
      <c r="H31" s="1811"/>
      <c r="I31" s="1808"/>
      <c r="J31" s="1810"/>
      <c r="K31" s="1810"/>
      <c r="L31" s="1810"/>
      <c r="M31" s="1811"/>
      <c r="N31" s="1812"/>
      <c r="O31" s="1813"/>
      <c r="P31" s="1814"/>
      <c r="Q31" s="1813"/>
      <c r="R31" s="2513"/>
      <c r="S31" s="3073" t="s">
        <v>262</v>
      </c>
      <c r="T31" s="300"/>
    </row>
    <row r="32" spans="1:20" ht="15.75" customHeight="1" x14ac:dyDescent="0.2">
      <c r="A32" s="3071"/>
      <c r="B32" s="1815" t="s">
        <v>3</v>
      </c>
      <c r="C32" s="1816"/>
      <c r="D32" s="1817">
        <f t="shared" ref="D32:D38" si="29">E32+F32+G32+H32</f>
        <v>800000</v>
      </c>
      <c r="E32" s="1818">
        <v>0</v>
      </c>
      <c r="F32" s="1820">
        <f>F33+F35</f>
        <v>112983</v>
      </c>
      <c r="G32" s="2527">
        <f>G33+G35</f>
        <v>482017</v>
      </c>
      <c r="H32" s="1821">
        <f>H33+H35</f>
        <v>205000</v>
      </c>
      <c r="I32" s="1817">
        <f t="shared" ref="I32:I38" si="30">J32+K32+L32+M32</f>
        <v>790519.53</v>
      </c>
      <c r="J32" s="1818">
        <v>0</v>
      </c>
      <c r="K32" s="828">
        <f>K33+K35</f>
        <v>103502.53</v>
      </c>
      <c r="L32" s="2527">
        <f>L33+L35</f>
        <v>482017</v>
      </c>
      <c r="M32" s="1821">
        <f>M33+M35</f>
        <v>205000</v>
      </c>
      <c r="N32" s="2514">
        <f>+N33+N35</f>
        <v>116219.56999999999</v>
      </c>
      <c r="O32" s="2515">
        <f t="shared" si="6"/>
        <v>14.527446249999997</v>
      </c>
      <c r="P32" s="1823">
        <f>P33+P35</f>
        <v>12717.04</v>
      </c>
      <c r="Q32" s="2515">
        <f t="shared" si="15"/>
        <v>2.6382969895252661</v>
      </c>
      <c r="R32" s="2516">
        <f t="shared" si="10"/>
        <v>-107787.20999999999</v>
      </c>
      <c r="S32" s="3074"/>
      <c r="T32" s="300"/>
    </row>
    <row r="33" spans="1:20" ht="15.75" customHeight="1" x14ac:dyDescent="0.2">
      <c r="A33" s="3071"/>
      <c r="B33" s="2528" t="s">
        <v>18</v>
      </c>
      <c r="C33" s="3054" t="s">
        <v>263</v>
      </c>
      <c r="D33" s="774">
        <f t="shared" si="29"/>
        <v>120000</v>
      </c>
      <c r="E33" s="802">
        <v>0</v>
      </c>
      <c r="F33" s="775">
        <f>F34</f>
        <v>16947</v>
      </c>
      <c r="G33" s="844">
        <f>G34</f>
        <v>72303</v>
      </c>
      <c r="H33" s="876">
        <f>H34</f>
        <v>30750</v>
      </c>
      <c r="I33" s="774">
        <f t="shared" si="30"/>
        <v>118578.36</v>
      </c>
      <c r="J33" s="802">
        <v>0</v>
      </c>
      <c r="K33" s="1826">
        <f>K34</f>
        <v>15525.36</v>
      </c>
      <c r="L33" s="844">
        <f>L34</f>
        <v>72303</v>
      </c>
      <c r="M33" s="876">
        <f>M34</f>
        <v>30750</v>
      </c>
      <c r="N33" s="811">
        <f>+N34</f>
        <v>17433.310000000001</v>
      </c>
      <c r="O33" s="2517">
        <f t="shared" si="6"/>
        <v>14.527758333333335</v>
      </c>
      <c r="P33" s="1826">
        <f>P34</f>
        <v>1907.95</v>
      </c>
      <c r="Q33" s="2517">
        <f t="shared" si="15"/>
        <v>2.6388254982504185</v>
      </c>
      <c r="R33" s="2518">
        <f t="shared" si="10"/>
        <v>-16167.8</v>
      </c>
      <c r="S33" s="3074"/>
      <c r="T33" s="300"/>
    </row>
    <row r="34" spans="1:20" ht="15.75" customHeight="1" x14ac:dyDescent="0.2">
      <c r="A34" s="3071"/>
      <c r="B34" s="696" t="s">
        <v>5</v>
      </c>
      <c r="C34" s="3055"/>
      <c r="D34" s="1827">
        <f t="shared" si="29"/>
        <v>120000</v>
      </c>
      <c r="E34" s="698">
        <v>0</v>
      </c>
      <c r="F34" s="699">
        <v>16947</v>
      </c>
      <c r="G34" s="2529">
        <v>72303</v>
      </c>
      <c r="H34" s="2530">
        <v>30750</v>
      </c>
      <c r="I34" s="1827">
        <f t="shared" si="30"/>
        <v>118578.36</v>
      </c>
      <c r="J34" s="698">
        <v>0</v>
      </c>
      <c r="K34" s="699">
        <v>15525.36</v>
      </c>
      <c r="L34" s="2529">
        <v>72303</v>
      </c>
      <c r="M34" s="2530">
        <v>30750</v>
      </c>
      <c r="N34" s="1829">
        <f>P34+J34+K34</f>
        <v>17433.310000000001</v>
      </c>
      <c r="O34" s="2187">
        <f t="shared" si="6"/>
        <v>14.527758333333335</v>
      </c>
      <c r="P34" s="699">
        <v>1907.95</v>
      </c>
      <c r="Q34" s="2187">
        <f t="shared" si="15"/>
        <v>2.6388254982504185</v>
      </c>
      <c r="R34" s="2188">
        <f t="shared" si="10"/>
        <v>-16167.8</v>
      </c>
      <c r="S34" s="3074"/>
      <c r="T34" s="300"/>
    </row>
    <row r="35" spans="1:20" ht="15.75" customHeight="1" x14ac:dyDescent="0.2">
      <c r="A35" s="3071"/>
      <c r="B35" s="703" t="s">
        <v>13</v>
      </c>
      <c r="C35" s="3055"/>
      <c r="D35" s="704">
        <f t="shared" si="29"/>
        <v>680000</v>
      </c>
      <c r="E35" s="706">
        <v>0</v>
      </c>
      <c r="F35" s="821">
        <f>F36</f>
        <v>96036</v>
      </c>
      <c r="G35" s="1227">
        <f>G36</f>
        <v>409714</v>
      </c>
      <c r="H35" s="822">
        <f>H36</f>
        <v>174250</v>
      </c>
      <c r="I35" s="704">
        <f t="shared" si="30"/>
        <v>671941.16999999993</v>
      </c>
      <c r="J35" s="706">
        <v>0</v>
      </c>
      <c r="K35" s="1109">
        <f>K36</f>
        <v>87977.17</v>
      </c>
      <c r="L35" s="1227">
        <f>L36</f>
        <v>409714</v>
      </c>
      <c r="M35" s="822">
        <f>M36</f>
        <v>174250</v>
      </c>
      <c r="N35" s="847">
        <f>+N36</f>
        <v>98786.26</v>
      </c>
      <c r="O35" s="2190">
        <f t="shared" si="6"/>
        <v>14.527391176470589</v>
      </c>
      <c r="P35" s="1109">
        <f>P36</f>
        <v>10809.09</v>
      </c>
      <c r="Q35" s="2190">
        <f t="shared" si="15"/>
        <v>2.6382037225967379</v>
      </c>
      <c r="R35" s="2191">
        <f t="shared" si="10"/>
        <v>-91619.41</v>
      </c>
      <c r="S35" s="3074"/>
      <c r="T35" s="300"/>
    </row>
    <row r="36" spans="1:20" ht="15.75" customHeight="1" x14ac:dyDescent="0.2">
      <c r="A36" s="3071"/>
      <c r="B36" s="2531" t="s">
        <v>15</v>
      </c>
      <c r="C36" s="3055"/>
      <c r="D36" s="2532">
        <f t="shared" si="29"/>
        <v>680000</v>
      </c>
      <c r="E36" s="2533">
        <v>0</v>
      </c>
      <c r="F36" s="2534">
        <v>96036</v>
      </c>
      <c r="G36" s="2535">
        <v>409714</v>
      </c>
      <c r="H36" s="2536">
        <v>174250</v>
      </c>
      <c r="I36" s="2532">
        <f t="shared" si="30"/>
        <v>671941.16999999993</v>
      </c>
      <c r="J36" s="2533">
        <v>0</v>
      </c>
      <c r="K36" s="2534">
        <v>87977.17</v>
      </c>
      <c r="L36" s="2535">
        <v>409714</v>
      </c>
      <c r="M36" s="2536">
        <v>174250</v>
      </c>
      <c r="N36" s="2537">
        <f>P36+J36+K36</f>
        <v>98786.26</v>
      </c>
      <c r="O36" s="2538">
        <f t="shared" si="6"/>
        <v>14.527391176470589</v>
      </c>
      <c r="P36" s="2534">
        <v>10809.09</v>
      </c>
      <c r="Q36" s="2538">
        <f t="shared" si="15"/>
        <v>2.6382037225967379</v>
      </c>
      <c r="R36" s="2539">
        <f t="shared" si="10"/>
        <v>-91619.41</v>
      </c>
      <c r="S36" s="3074"/>
      <c r="T36" s="300"/>
    </row>
    <row r="37" spans="1:20" ht="15.75" customHeight="1" x14ac:dyDescent="0.2">
      <c r="A37" s="3071"/>
      <c r="B37" s="1815" t="s">
        <v>17</v>
      </c>
      <c r="C37" s="1816"/>
      <c r="D37" s="1817">
        <f t="shared" si="29"/>
        <v>680000</v>
      </c>
      <c r="E37" s="1818">
        <v>0</v>
      </c>
      <c r="F37" s="1820">
        <f t="shared" ref="F37:H38" si="31">F38</f>
        <v>17900</v>
      </c>
      <c r="G37" s="2527">
        <f t="shared" si="31"/>
        <v>82100</v>
      </c>
      <c r="H37" s="1821">
        <f t="shared" si="31"/>
        <v>580000</v>
      </c>
      <c r="I37" s="1817">
        <f t="shared" si="30"/>
        <v>662100</v>
      </c>
      <c r="J37" s="1818">
        <v>0</v>
      </c>
      <c r="K37" s="1823">
        <f>K38</f>
        <v>0</v>
      </c>
      <c r="L37" s="2527">
        <f t="shared" ref="L37:N38" si="32">L38</f>
        <v>82100</v>
      </c>
      <c r="M37" s="1821">
        <f t="shared" si="32"/>
        <v>580000</v>
      </c>
      <c r="N37" s="1835">
        <f t="shared" si="32"/>
        <v>17815</v>
      </c>
      <c r="O37" s="2515">
        <f t="shared" si="6"/>
        <v>2.6198529411764708</v>
      </c>
      <c r="P37" s="1823">
        <f>P38</f>
        <v>17815</v>
      </c>
      <c r="Q37" s="2515">
        <f t="shared" si="15"/>
        <v>21.699147381242387</v>
      </c>
      <c r="R37" s="2516">
        <f t="shared" si="10"/>
        <v>-2710</v>
      </c>
      <c r="S37" s="3074"/>
      <c r="T37" s="300"/>
    </row>
    <row r="38" spans="1:20" ht="15.75" customHeight="1" x14ac:dyDescent="0.2">
      <c r="A38" s="3071"/>
      <c r="B38" s="703" t="s">
        <v>13</v>
      </c>
      <c r="C38" s="3077" t="s">
        <v>264</v>
      </c>
      <c r="D38" s="1837">
        <f t="shared" si="29"/>
        <v>680000</v>
      </c>
      <c r="E38" s="706">
        <v>0</v>
      </c>
      <c r="F38" s="705">
        <f t="shared" si="31"/>
        <v>17900</v>
      </c>
      <c r="G38" s="846">
        <f t="shared" si="31"/>
        <v>82100</v>
      </c>
      <c r="H38" s="825">
        <f t="shared" si="31"/>
        <v>580000</v>
      </c>
      <c r="I38" s="1837">
        <f t="shared" si="30"/>
        <v>662100</v>
      </c>
      <c r="J38" s="706">
        <v>0</v>
      </c>
      <c r="K38" s="1840">
        <f>K39</f>
        <v>0</v>
      </c>
      <c r="L38" s="846">
        <f t="shared" si="32"/>
        <v>82100</v>
      </c>
      <c r="M38" s="825">
        <f t="shared" si="32"/>
        <v>580000</v>
      </c>
      <c r="N38" s="1838">
        <f t="shared" si="32"/>
        <v>17815</v>
      </c>
      <c r="O38" s="2521">
        <f t="shared" si="6"/>
        <v>2.6198529411764708</v>
      </c>
      <c r="P38" s="1840">
        <f>P39</f>
        <v>17815</v>
      </c>
      <c r="Q38" s="2521">
        <f t="shared" si="15"/>
        <v>21.699147381242387</v>
      </c>
      <c r="R38" s="2522">
        <f t="shared" si="10"/>
        <v>-2710</v>
      </c>
      <c r="S38" s="3074"/>
      <c r="T38" s="300"/>
    </row>
    <row r="39" spans="1:20" ht="15.75" customHeight="1" thickBot="1" x14ac:dyDescent="0.25">
      <c r="A39" s="3072"/>
      <c r="B39" s="1843" t="s">
        <v>15</v>
      </c>
      <c r="C39" s="3056"/>
      <c r="D39" s="718">
        <f>E39+F39+G39+H39</f>
        <v>680000</v>
      </c>
      <c r="E39" s="719">
        <v>0</v>
      </c>
      <c r="F39" s="720">
        <v>17900</v>
      </c>
      <c r="G39" s="2540">
        <v>82100</v>
      </c>
      <c r="H39" s="1116">
        <f>280000+300000</f>
        <v>580000</v>
      </c>
      <c r="I39" s="718">
        <f>J39+K39+L39+M39</f>
        <v>662100</v>
      </c>
      <c r="J39" s="719">
        <v>0</v>
      </c>
      <c r="K39" s="1117">
        <v>0</v>
      </c>
      <c r="L39" s="2540">
        <v>82100</v>
      </c>
      <c r="M39" s="1116">
        <f>280000+300000</f>
        <v>580000</v>
      </c>
      <c r="N39" s="1844">
        <f>P39+J39+K39</f>
        <v>17815</v>
      </c>
      <c r="O39" s="1845">
        <f t="shared" si="6"/>
        <v>2.6198529411764708</v>
      </c>
      <c r="P39" s="1117">
        <v>17815</v>
      </c>
      <c r="Q39" s="1845">
        <f t="shared" si="15"/>
        <v>21.699147381242387</v>
      </c>
      <c r="R39" s="2217">
        <f t="shared" si="10"/>
        <v>-2710</v>
      </c>
      <c r="S39" s="3075"/>
      <c r="T39" s="300"/>
    </row>
    <row r="40" spans="1:20" ht="41.25" customHeight="1" x14ac:dyDescent="0.2">
      <c r="A40" s="3285" t="s">
        <v>48</v>
      </c>
      <c r="B40" s="1806" t="s">
        <v>266</v>
      </c>
      <c r="C40" s="1807" t="s">
        <v>233</v>
      </c>
      <c r="D40" s="1808"/>
      <c r="E40" s="1810"/>
      <c r="F40" s="1810"/>
      <c r="G40" s="1810"/>
      <c r="H40" s="1811"/>
      <c r="I40" s="1808"/>
      <c r="J40" s="1810"/>
      <c r="K40" s="1810"/>
      <c r="L40" s="1810"/>
      <c r="M40" s="1811"/>
      <c r="N40" s="1808"/>
      <c r="O40" s="1813"/>
      <c r="P40" s="1814"/>
      <c r="Q40" s="1813"/>
      <c r="R40" s="2513"/>
      <c r="S40" s="3073" t="s">
        <v>262</v>
      </c>
      <c r="T40" s="300"/>
    </row>
    <row r="41" spans="1:20" ht="15.75" customHeight="1" x14ac:dyDescent="0.2">
      <c r="A41" s="3286"/>
      <c r="B41" s="1815" t="s">
        <v>3</v>
      </c>
      <c r="C41" s="2541"/>
      <c r="D41" s="2542">
        <f>+D42</f>
        <v>2470190</v>
      </c>
      <c r="E41" s="2543">
        <f t="shared" ref="E41:H42" si="33">E42</f>
        <v>0</v>
      </c>
      <c r="F41" s="2544">
        <f t="shared" si="33"/>
        <v>42390</v>
      </c>
      <c r="G41" s="2545">
        <f t="shared" si="33"/>
        <v>1683240</v>
      </c>
      <c r="H41" s="2546">
        <f t="shared" si="33"/>
        <v>744560</v>
      </c>
      <c r="I41" s="2542">
        <f>+I42</f>
        <v>2438870.7000000002</v>
      </c>
      <c r="J41" s="2543">
        <f t="shared" ref="J41:M42" si="34">J42</f>
        <v>0</v>
      </c>
      <c r="K41" s="1">
        <f>K42</f>
        <v>11070.7</v>
      </c>
      <c r="L41" s="2545">
        <f t="shared" si="34"/>
        <v>1683240</v>
      </c>
      <c r="M41" s="2546">
        <f t="shared" si="34"/>
        <v>744560</v>
      </c>
      <c r="N41" s="2542">
        <f>P41+J41+K41</f>
        <v>11070.7</v>
      </c>
      <c r="O41" s="2547">
        <f t="shared" si="6"/>
        <v>0.44817200296333487</v>
      </c>
      <c r="P41" s="2548">
        <f>P42</f>
        <v>0</v>
      </c>
      <c r="Q41" s="2547">
        <f t="shared" si="15"/>
        <v>0</v>
      </c>
      <c r="R41" s="2549">
        <f t="shared" si="10"/>
        <v>-420810</v>
      </c>
      <c r="S41" s="3074"/>
      <c r="T41" s="300"/>
    </row>
    <row r="42" spans="1:20" ht="15.75" customHeight="1" x14ac:dyDescent="0.2">
      <c r="A42" s="3286"/>
      <c r="B42" s="703" t="s">
        <v>13</v>
      </c>
      <c r="C42" s="3288" t="s">
        <v>263</v>
      </c>
      <c r="D42" s="2550">
        <f>+D43</f>
        <v>2470190</v>
      </c>
      <c r="E42" s="2551">
        <f t="shared" si="33"/>
        <v>0</v>
      </c>
      <c r="F42" s="2552">
        <f t="shared" si="33"/>
        <v>42390</v>
      </c>
      <c r="G42" s="2552">
        <f t="shared" si="33"/>
        <v>1683240</v>
      </c>
      <c r="H42" s="2553">
        <f t="shared" si="33"/>
        <v>744560</v>
      </c>
      <c r="I42" s="2550">
        <f>+I43</f>
        <v>2438870.7000000002</v>
      </c>
      <c r="J42" s="2551">
        <f t="shared" si="34"/>
        <v>0</v>
      </c>
      <c r="K42" s="2554">
        <f>K43</f>
        <v>11070.7</v>
      </c>
      <c r="L42" s="2552">
        <f t="shared" si="34"/>
        <v>1683240</v>
      </c>
      <c r="M42" s="2553">
        <f t="shared" si="34"/>
        <v>744560</v>
      </c>
      <c r="N42" s="2550">
        <f>P42+J42+K42</f>
        <v>11070.7</v>
      </c>
      <c r="O42" s="2555">
        <f t="shared" si="6"/>
        <v>0.44817200296333487</v>
      </c>
      <c r="P42" s="2554">
        <f>P43</f>
        <v>0</v>
      </c>
      <c r="Q42" s="2555">
        <f t="shared" si="15"/>
        <v>0</v>
      </c>
      <c r="R42" s="2556">
        <f t="shared" si="10"/>
        <v>-420810</v>
      </c>
      <c r="S42" s="3074"/>
      <c r="T42" s="300"/>
    </row>
    <row r="43" spans="1:20" ht="15.75" customHeight="1" x14ac:dyDescent="0.2">
      <c r="A43" s="3286"/>
      <c r="B43" s="2557" t="s">
        <v>15</v>
      </c>
      <c r="C43" s="3012"/>
      <c r="D43" s="2000">
        <f>+E43+F43+G43+H43</f>
        <v>2470190</v>
      </c>
      <c r="E43" s="2558">
        <v>0</v>
      </c>
      <c r="F43" s="2559">
        <v>42390</v>
      </c>
      <c r="G43" s="2560">
        <v>1683240</v>
      </c>
      <c r="H43" s="2561">
        <v>744560</v>
      </c>
      <c r="I43" s="2000">
        <f>+J43+K43+L43+M43</f>
        <v>2438870.7000000002</v>
      </c>
      <c r="J43" s="2558">
        <v>0</v>
      </c>
      <c r="K43" s="2559">
        <v>11070.7</v>
      </c>
      <c r="L43" s="2560">
        <v>1683240</v>
      </c>
      <c r="M43" s="2561">
        <v>744560</v>
      </c>
      <c r="N43" s="2562">
        <f>P43+J43+K43</f>
        <v>11070.7</v>
      </c>
      <c r="O43" s="2563">
        <f t="shared" si="6"/>
        <v>0.44817200296333487</v>
      </c>
      <c r="P43" s="2559">
        <v>0</v>
      </c>
      <c r="Q43" s="2563">
        <f t="shared" si="15"/>
        <v>0</v>
      </c>
      <c r="R43" s="2564">
        <f t="shared" si="10"/>
        <v>-420810</v>
      </c>
      <c r="S43" s="3074"/>
      <c r="T43" s="300"/>
    </row>
    <row r="44" spans="1:20" ht="15.75" customHeight="1" x14ac:dyDescent="0.2">
      <c r="A44" s="3286"/>
      <c r="B44" s="1815" t="s">
        <v>17</v>
      </c>
      <c r="C44" s="1816"/>
      <c r="D44" s="2565">
        <f>E44+F44+G44+H44</f>
        <v>2470190</v>
      </c>
      <c r="E44" s="2566">
        <f t="shared" ref="E44:H45" si="35">E45</f>
        <v>0</v>
      </c>
      <c r="F44" s="2567">
        <f t="shared" si="35"/>
        <v>42390</v>
      </c>
      <c r="G44" s="2567">
        <f t="shared" si="35"/>
        <v>1683240</v>
      </c>
      <c r="H44" s="2568">
        <f t="shared" si="35"/>
        <v>744560</v>
      </c>
      <c r="I44" s="2565">
        <f>J44+K44+L44+M44</f>
        <v>2427800</v>
      </c>
      <c r="J44" s="2566">
        <f t="shared" ref="J44:N45" si="36">J45</f>
        <v>0</v>
      </c>
      <c r="K44" s="1823">
        <f>K45</f>
        <v>0</v>
      </c>
      <c r="L44" s="2567">
        <f t="shared" si="36"/>
        <v>1683240</v>
      </c>
      <c r="M44" s="2568">
        <f t="shared" si="36"/>
        <v>744560</v>
      </c>
      <c r="N44" s="1835">
        <f t="shared" si="36"/>
        <v>0</v>
      </c>
      <c r="O44" s="2515">
        <f t="shared" si="6"/>
        <v>0</v>
      </c>
      <c r="P44" s="1823">
        <f>P45</f>
        <v>0</v>
      </c>
      <c r="Q44" s="2515">
        <f t="shared" si="15"/>
        <v>0</v>
      </c>
      <c r="R44" s="2569">
        <f t="shared" si="10"/>
        <v>-420810</v>
      </c>
      <c r="S44" s="3074"/>
      <c r="T44" s="300"/>
    </row>
    <row r="45" spans="1:20" ht="15.75" customHeight="1" x14ac:dyDescent="0.2">
      <c r="A45" s="3286"/>
      <c r="B45" s="703" t="s">
        <v>13</v>
      </c>
      <c r="C45" s="3077" t="s">
        <v>267</v>
      </c>
      <c r="D45" s="2570">
        <f>E45+F45+G45+H45</f>
        <v>2470190</v>
      </c>
      <c r="E45" s="706">
        <f t="shared" si="35"/>
        <v>0</v>
      </c>
      <c r="F45" s="705">
        <f t="shared" si="35"/>
        <v>42390</v>
      </c>
      <c r="G45" s="705">
        <f t="shared" si="35"/>
        <v>1683240</v>
      </c>
      <c r="H45" s="831">
        <f t="shared" si="35"/>
        <v>744560</v>
      </c>
      <c r="I45" s="2570">
        <f>J45+K45+L45+M45</f>
        <v>2427800</v>
      </c>
      <c r="J45" s="706">
        <f t="shared" si="36"/>
        <v>0</v>
      </c>
      <c r="K45" s="1840">
        <f>K46</f>
        <v>0</v>
      </c>
      <c r="L45" s="705">
        <f t="shared" si="36"/>
        <v>1683240</v>
      </c>
      <c r="M45" s="831">
        <f t="shared" si="36"/>
        <v>744560</v>
      </c>
      <c r="N45" s="1838">
        <f t="shared" si="36"/>
        <v>0</v>
      </c>
      <c r="O45" s="2521">
        <f t="shared" si="6"/>
        <v>0</v>
      </c>
      <c r="P45" s="1840">
        <f>P46</f>
        <v>0</v>
      </c>
      <c r="Q45" s="2521">
        <f t="shared" si="15"/>
        <v>0</v>
      </c>
      <c r="R45" s="2522">
        <f t="shared" si="10"/>
        <v>-420810</v>
      </c>
      <c r="S45" s="3074"/>
      <c r="T45" s="300"/>
    </row>
    <row r="46" spans="1:20" ht="15.75" customHeight="1" thickBot="1" x14ac:dyDescent="0.25">
      <c r="A46" s="3287"/>
      <c r="B46" s="1843" t="s">
        <v>15</v>
      </c>
      <c r="C46" s="3056"/>
      <c r="D46" s="718">
        <f>E46+F46+G46+H46</f>
        <v>2470190</v>
      </c>
      <c r="E46" s="719">
        <v>0</v>
      </c>
      <c r="F46" s="720">
        <v>42390</v>
      </c>
      <c r="G46" s="720">
        <v>1683240</v>
      </c>
      <c r="H46" s="2571">
        <v>744560</v>
      </c>
      <c r="I46" s="718">
        <f>J46+K46+L46+M46</f>
        <v>2427800</v>
      </c>
      <c r="J46" s="719">
        <v>0</v>
      </c>
      <c r="K46" s="1117">
        <v>0</v>
      </c>
      <c r="L46" s="720">
        <v>1683240</v>
      </c>
      <c r="M46" s="2571">
        <v>744560</v>
      </c>
      <c r="N46" s="1844">
        <f>P46+J46+K46</f>
        <v>0</v>
      </c>
      <c r="O46" s="1845">
        <f t="shared" si="6"/>
        <v>0</v>
      </c>
      <c r="P46" s="1117">
        <v>0</v>
      </c>
      <c r="Q46" s="1845">
        <f t="shared" si="15"/>
        <v>0</v>
      </c>
      <c r="R46" s="2217">
        <f t="shared" si="10"/>
        <v>-420810</v>
      </c>
      <c r="S46" s="3075"/>
      <c r="T46" s="300"/>
    </row>
    <row r="47" spans="1:20" ht="52.5" customHeight="1" x14ac:dyDescent="0.2">
      <c r="A47" s="3285" t="s">
        <v>49</v>
      </c>
      <c r="B47" s="1806" t="s">
        <v>268</v>
      </c>
      <c r="C47" s="1807" t="s">
        <v>233</v>
      </c>
      <c r="D47" s="1808"/>
      <c r="E47" s="1810"/>
      <c r="F47" s="1810"/>
      <c r="G47" s="1810"/>
      <c r="H47" s="1811"/>
      <c r="I47" s="1808"/>
      <c r="J47" s="1810"/>
      <c r="K47" s="1810"/>
      <c r="L47" s="1810"/>
      <c r="M47" s="1811"/>
      <c r="N47" s="1808"/>
      <c r="O47" s="1813"/>
      <c r="P47" s="1814"/>
      <c r="Q47" s="1813"/>
      <c r="R47" s="2513"/>
      <c r="S47" s="3073" t="s">
        <v>262</v>
      </c>
      <c r="T47" s="300"/>
    </row>
    <row r="48" spans="1:20" ht="15" customHeight="1" x14ac:dyDescent="0.2">
      <c r="A48" s="3286"/>
      <c r="B48" s="1815" t="s">
        <v>3</v>
      </c>
      <c r="C48" s="2541"/>
      <c r="D48" s="2542">
        <f>+D49</f>
        <v>5906630</v>
      </c>
      <c r="E48" s="2543">
        <f t="shared" ref="E48:H49" si="37">E49</f>
        <v>0</v>
      </c>
      <c r="F48" s="2544">
        <f t="shared" si="37"/>
        <v>986400</v>
      </c>
      <c r="G48" s="2545">
        <f t="shared" si="37"/>
        <v>2533230</v>
      </c>
      <c r="H48" s="2546">
        <f t="shared" si="37"/>
        <v>2387000</v>
      </c>
      <c r="I48" s="2542">
        <f>+I49</f>
        <v>5449824.6200000001</v>
      </c>
      <c r="J48" s="2543">
        <f t="shared" ref="J48:M49" si="38">J49</f>
        <v>0</v>
      </c>
      <c r="K48" s="1">
        <f>K49</f>
        <v>529594.62</v>
      </c>
      <c r="L48" s="2545">
        <f t="shared" si="38"/>
        <v>2533230</v>
      </c>
      <c r="M48" s="2546">
        <f t="shared" si="38"/>
        <v>2387000</v>
      </c>
      <c r="N48" s="2542">
        <f>P48+J48+K48</f>
        <v>581736.39</v>
      </c>
      <c r="O48" s="2547">
        <f t="shared" si="6"/>
        <v>9.8488713530388736</v>
      </c>
      <c r="P48" s="2548">
        <f>P49</f>
        <v>52141.77</v>
      </c>
      <c r="Q48" s="2547">
        <f t="shared" si="15"/>
        <v>2.0583117206096566</v>
      </c>
      <c r="R48" s="2549">
        <f t="shared" si="10"/>
        <v>-581165.73</v>
      </c>
      <c r="S48" s="3074"/>
      <c r="T48" s="300"/>
    </row>
    <row r="49" spans="1:20" ht="15" customHeight="1" x14ac:dyDescent="0.2">
      <c r="A49" s="3286"/>
      <c r="B49" s="703" t="s">
        <v>13</v>
      </c>
      <c r="C49" s="3288" t="s">
        <v>263</v>
      </c>
      <c r="D49" s="2550">
        <f>+D50</f>
        <v>5906630</v>
      </c>
      <c r="E49" s="2551">
        <f t="shared" si="37"/>
        <v>0</v>
      </c>
      <c r="F49" s="2552">
        <f t="shared" si="37"/>
        <v>986400</v>
      </c>
      <c r="G49" s="2552">
        <f t="shared" si="37"/>
        <v>2533230</v>
      </c>
      <c r="H49" s="2553">
        <f t="shared" si="37"/>
        <v>2387000</v>
      </c>
      <c r="I49" s="2550">
        <f>+I50</f>
        <v>5449824.6200000001</v>
      </c>
      <c r="J49" s="2551">
        <f t="shared" si="38"/>
        <v>0</v>
      </c>
      <c r="K49" s="2554">
        <f>K50</f>
        <v>529594.62</v>
      </c>
      <c r="L49" s="2552">
        <f t="shared" si="38"/>
        <v>2533230</v>
      </c>
      <c r="M49" s="2553">
        <f t="shared" si="38"/>
        <v>2387000</v>
      </c>
      <c r="N49" s="2550">
        <f>P49+J49+K49</f>
        <v>581736.39</v>
      </c>
      <c r="O49" s="2555">
        <f t="shared" si="6"/>
        <v>9.8488713530388736</v>
      </c>
      <c r="P49" s="2554">
        <f>P50</f>
        <v>52141.77</v>
      </c>
      <c r="Q49" s="2555">
        <f t="shared" si="15"/>
        <v>2.0583117206096566</v>
      </c>
      <c r="R49" s="2556">
        <f t="shared" si="10"/>
        <v>-581165.73</v>
      </c>
      <c r="S49" s="3074"/>
      <c r="T49" s="300"/>
    </row>
    <row r="50" spans="1:20" ht="15" customHeight="1" x14ac:dyDescent="0.2">
      <c r="A50" s="3286"/>
      <c r="B50" s="2557" t="s">
        <v>15</v>
      </c>
      <c r="C50" s="3012"/>
      <c r="D50" s="2000">
        <f>+E50+F50+G50+H50</f>
        <v>5906630</v>
      </c>
      <c r="E50" s="2558">
        <v>0</v>
      </c>
      <c r="F50" s="2559">
        <v>986400</v>
      </c>
      <c r="G50" s="2560">
        <v>2533230</v>
      </c>
      <c r="H50" s="2561">
        <v>2387000</v>
      </c>
      <c r="I50" s="2000">
        <f>+J50+K50+L50+M50</f>
        <v>5449824.6200000001</v>
      </c>
      <c r="J50" s="2558">
        <v>0</v>
      </c>
      <c r="K50" s="2559">
        <v>529594.62</v>
      </c>
      <c r="L50" s="2560">
        <v>2533230</v>
      </c>
      <c r="M50" s="2561">
        <v>2387000</v>
      </c>
      <c r="N50" s="2562">
        <f>P50+J50+K50</f>
        <v>581736.39</v>
      </c>
      <c r="O50" s="2563">
        <f t="shared" si="6"/>
        <v>9.8488713530388736</v>
      </c>
      <c r="P50" s="2559">
        <v>52141.77</v>
      </c>
      <c r="Q50" s="2563">
        <f t="shared" si="15"/>
        <v>2.0583117206096566</v>
      </c>
      <c r="R50" s="2564">
        <f t="shared" si="10"/>
        <v>-581165.73</v>
      </c>
      <c r="S50" s="3074"/>
      <c r="T50" s="300"/>
    </row>
    <row r="51" spans="1:20" ht="15" customHeight="1" x14ac:dyDescent="0.2">
      <c r="A51" s="3286"/>
      <c r="B51" s="1815" t="s">
        <v>17</v>
      </c>
      <c r="C51" s="1816"/>
      <c r="D51" s="2565">
        <f>E51+F51+G51+H51</f>
        <v>5940400</v>
      </c>
      <c r="E51" s="2566">
        <f t="shared" ref="E51:H52" si="39">E52</f>
        <v>0</v>
      </c>
      <c r="F51" s="2567">
        <f t="shared" si="39"/>
        <v>986400</v>
      </c>
      <c r="G51" s="2567">
        <f t="shared" si="39"/>
        <v>2567000</v>
      </c>
      <c r="H51" s="2568">
        <f t="shared" si="39"/>
        <v>2387000</v>
      </c>
      <c r="I51" s="2565">
        <f>J51+K51+L51+M51</f>
        <v>5039912</v>
      </c>
      <c r="J51" s="2566">
        <f t="shared" ref="J51:N52" si="40">J52</f>
        <v>0</v>
      </c>
      <c r="K51" s="1823">
        <f>K52</f>
        <v>85912</v>
      </c>
      <c r="L51" s="2567">
        <f t="shared" si="40"/>
        <v>2567000</v>
      </c>
      <c r="M51" s="2568">
        <f t="shared" si="40"/>
        <v>2387000</v>
      </c>
      <c r="N51" s="1835">
        <f t="shared" si="40"/>
        <v>288024</v>
      </c>
      <c r="O51" s="2515">
        <f t="shared" si="6"/>
        <v>4.8485623863712881</v>
      </c>
      <c r="P51" s="1823">
        <f>P52</f>
        <v>202112</v>
      </c>
      <c r="Q51" s="2515">
        <f t="shared" si="15"/>
        <v>7.8734709777950913</v>
      </c>
      <c r="R51" s="2569">
        <f t="shared" si="10"/>
        <v>-439638</v>
      </c>
      <c r="S51" s="3074"/>
      <c r="T51" s="300"/>
    </row>
    <row r="52" spans="1:20" ht="15" customHeight="1" x14ac:dyDescent="0.2">
      <c r="A52" s="3286"/>
      <c r="B52" s="703" t="s">
        <v>13</v>
      </c>
      <c r="C52" s="3077" t="s">
        <v>267</v>
      </c>
      <c r="D52" s="2570">
        <f>E52+F52+G52+H52</f>
        <v>5940400</v>
      </c>
      <c r="E52" s="706">
        <f t="shared" si="39"/>
        <v>0</v>
      </c>
      <c r="F52" s="705">
        <f t="shared" si="39"/>
        <v>986400</v>
      </c>
      <c r="G52" s="705">
        <f t="shared" si="39"/>
        <v>2567000</v>
      </c>
      <c r="H52" s="831">
        <f t="shared" si="39"/>
        <v>2387000</v>
      </c>
      <c r="I52" s="2570">
        <f>J52+K52+L52+M52</f>
        <v>5039912</v>
      </c>
      <c r="J52" s="706">
        <f t="shared" si="40"/>
        <v>0</v>
      </c>
      <c r="K52" s="1840">
        <f>K53</f>
        <v>85912</v>
      </c>
      <c r="L52" s="705">
        <f t="shared" si="40"/>
        <v>2567000</v>
      </c>
      <c r="M52" s="831">
        <f t="shared" si="40"/>
        <v>2387000</v>
      </c>
      <c r="N52" s="1838">
        <f t="shared" si="40"/>
        <v>288024</v>
      </c>
      <c r="O52" s="2521">
        <f t="shared" si="6"/>
        <v>4.8485623863712881</v>
      </c>
      <c r="P52" s="1840">
        <f>P53</f>
        <v>202112</v>
      </c>
      <c r="Q52" s="2521">
        <f t="shared" si="15"/>
        <v>7.8734709777950913</v>
      </c>
      <c r="R52" s="2522">
        <f t="shared" si="10"/>
        <v>-439638</v>
      </c>
      <c r="S52" s="3074"/>
      <c r="T52" s="300"/>
    </row>
    <row r="53" spans="1:20" ht="15" customHeight="1" thickBot="1" x14ac:dyDescent="0.25">
      <c r="A53" s="3287"/>
      <c r="B53" s="1843" t="s">
        <v>15</v>
      </c>
      <c r="C53" s="3056"/>
      <c r="D53" s="718">
        <f>E53+F53+G53+H53</f>
        <v>5940400</v>
      </c>
      <c r="E53" s="719">
        <v>0</v>
      </c>
      <c r="F53" s="720">
        <v>986400</v>
      </c>
      <c r="G53" s="720">
        <v>2567000</v>
      </c>
      <c r="H53" s="2571">
        <v>2387000</v>
      </c>
      <c r="I53" s="718">
        <f>J53+K53+L53+M53</f>
        <v>5039912</v>
      </c>
      <c r="J53" s="719">
        <v>0</v>
      </c>
      <c r="K53" s="1117">
        <f>661660-575748</f>
        <v>85912</v>
      </c>
      <c r="L53" s="720">
        <v>2567000</v>
      </c>
      <c r="M53" s="2571">
        <v>2387000</v>
      </c>
      <c r="N53" s="1844">
        <f>P53+J53+K53</f>
        <v>288024</v>
      </c>
      <c r="O53" s="1845">
        <f t="shared" si="6"/>
        <v>4.8485623863712881</v>
      </c>
      <c r="P53" s="1117">
        <v>202112</v>
      </c>
      <c r="Q53" s="1845">
        <f t="shared" si="15"/>
        <v>7.8734709777950913</v>
      </c>
      <c r="R53" s="2217">
        <f t="shared" si="10"/>
        <v>-439638</v>
      </c>
      <c r="S53" s="3075"/>
      <c r="T53" s="300"/>
    </row>
    <row r="54" spans="1:20" ht="57.75" customHeight="1" x14ac:dyDescent="0.2">
      <c r="A54" s="3285" t="s">
        <v>51</v>
      </c>
      <c r="B54" s="1806" t="s">
        <v>269</v>
      </c>
      <c r="C54" s="1807" t="s">
        <v>225</v>
      </c>
      <c r="D54" s="1808"/>
      <c r="E54" s="1810"/>
      <c r="F54" s="1810"/>
      <c r="G54" s="1810"/>
      <c r="H54" s="1811"/>
      <c r="I54" s="1808"/>
      <c r="J54" s="1810"/>
      <c r="K54" s="1810"/>
      <c r="L54" s="1810"/>
      <c r="M54" s="1811"/>
      <c r="N54" s="1808"/>
      <c r="O54" s="1813"/>
      <c r="P54" s="1814"/>
      <c r="Q54" s="1813"/>
      <c r="R54" s="2513"/>
      <c r="S54" s="3073" t="s">
        <v>262</v>
      </c>
      <c r="T54" s="300"/>
    </row>
    <row r="55" spans="1:20" ht="14.25" customHeight="1" x14ac:dyDescent="0.2">
      <c r="A55" s="3286"/>
      <c r="B55" s="1815" t="s">
        <v>3</v>
      </c>
      <c r="C55" s="2541"/>
      <c r="D55" s="2542">
        <f>+D56</f>
        <v>33770</v>
      </c>
      <c r="E55" s="2543">
        <f t="shared" ref="E55:H56" si="41">E56</f>
        <v>0</v>
      </c>
      <c r="F55" s="2544">
        <f t="shared" si="41"/>
        <v>0</v>
      </c>
      <c r="G55" s="2545">
        <f t="shared" si="41"/>
        <v>33770</v>
      </c>
      <c r="H55" s="2546">
        <f t="shared" si="41"/>
        <v>0</v>
      </c>
      <c r="I55" s="2542">
        <f>+I56</f>
        <v>33770</v>
      </c>
      <c r="J55" s="2543">
        <f t="shared" ref="J55:M56" si="42">J56</f>
        <v>0</v>
      </c>
      <c r="K55" s="2544">
        <f t="shared" si="42"/>
        <v>0</v>
      </c>
      <c r="L55" s="2545">
        <f t="shared" si="42"/>
        <v>33770</v>
      </c>
      <c r="M55" s="2546">
        <f t="shared" si="42"/>
        <v>0</v>
      </c>
      <c r="N55" s="2542">
        <f>P55+J55+K55</f>
        <v>33770</v>
      </c>
      <c r="O55" s="2547">
        <f t="shared" si="6"/>
        <v>100</v>
      </c>
      <c r="P55" s="2548">
        <f>P56</f>
        <v>33770</v>
      </c>
      <c r="Q55" s="2547">
        <f t="shared" si="15"/>
        <v>100</v>
      </c>
      <c r="R55" s="2549">
        <f t="shared" ref="R55:R60" si="43">+P55-L55*0.25</f>
        <v>25327.5</v>
      </c>
      <c r="S55" s="3074"/>
      <c r="T55" s="300"/>
    </row>
    <row r="56" spans="1:20" ht="14.25" customHeight="1" x14ac:dyDescent="0.2">
      <c r="A56" s="3286"/>
      <c r="B56" s="703" t="s">
        <v>13</v>
      </c>
      <c r="C56" s="3288" t="s">
        <v>263</v>
      </c>
      <c r="D56" s="2550">
        <f>+D57</f>
        <v>33770</v>
      </c>
      <c r="E56" s="2551">
        <f t="shared" si="41"/>
        <v>0</v>
      </c>
      <c r="F56" s="2552">
        <f t="shared" si="41"/>
        <v>0</v>
      </c>
      <c r="G56" s="2552">
        <f t="shared" si="41"/>
        <v>33770</v>
      </c>
      <c r="H56" s="2553">
        <f t="shared" si="41"/>
        <v>0</v>
      </c>
      <c r="I56" s="2550">
        <f>+I57</f>
        <v>33770</v>
      </c>
      <c r="J56" s="2551">
        <f t="shared" si="42"/>
        <v>0</v>
      </c>
      <c r="K56" s="2552">
        <f t="shared" si="42"/>
        <v>0</v>
      </c>
      <c r="L56" s="2552">
        <f t="shared" si="42"/>
        <v>33770</v>
      </c>
      <c r="M56" s="2553">
        <f t="shared" si="42"/>
        <v>0</v>
      </c>
      <c r="N56" s="2550">
        <f>P56+J56+K56</f>
        <v>33770</v>
      </c>
      <c r="O56" s="2555">
        <f t="shared" si="6"/>
        <v>100</v>
      </c>
      <c r="P56" s="2554">
        <f>P57</f>
        <v>33770</v>
      </c>
      <c r="Q56" s="2555">
        <f t="shared" si="15"/>
        <v>100</v>
      </c>
      <c r="R56" s="2556">
        <f t="shared" si="43"/>
        <v>25327.5</v>
      </c>
      <c r="S56" s="3074"/>
      <c r="T56" s="300"/>
    </row>
    <row r="57" spans="1:20" ht="14.25" customHeight="1" thickBot="1" x14ac:dyDescent="0.25">
      <c r="A57" s="3286"/>
      <c r="B57" s="2557" t="s">
        <v>15</v>
      </c>
      <c r="C57" s="3012"/>
      <c r="D57" s="2000">
        <f>+E57+F57+G57+H57</f>
        <v>33770</v>
      </c>
      <c r="E57" s="2558">
        <v>0</v>
      </c>
      <c r="F57" s="2559"/>
      <c r="G57" s="2560">
        <v>33770</v>
      </c>
      <c r="H57" s="2561">
        <v>0</v>
      </c>
      <c r="I57" s="2000">
        <f>+J57+K57+L57+M57</f>
        <v>33770</v>
      </c>
      <c r="J57" s="2558">
        <v>0</v>
      </c>
      <c r="K57" s="2559">
        <v>0</v>
      </c>
      <c r="L57" s="2560">
        <v>33770</v>
      </c>
      <c r="M57" s="2561">
        <v>0</v>
      </c>
      <c r="N57" s="2562">
        <f>P57+J57+K57</f>
        <v>33770</v>
      </c>
      <c r="O57" s="2563">
        <f>N57/D57*100</f>
        <v>100</v>
      </c>
      <c r="P57" s="2559">
        <v>33770</v>
      </c>
      <c r="Q57" s="2563">
        <f>P57/G57*100</f>
        <v>100</v>
      </c>
      <c r="R57" s="2564">
        <f t="shared" si="43"/>
        <v>25327.5</v>
      </c>
      <c r="S57" s="3074"/>
      <c r="T57" s="300"/>
    </row>
    <row r="58" spans="1:20" ht="12" hidden="1" customHeight="1" x14ac:dyDescent="0.2">
      <c r="A58" s="3286"/>
      <c r="B58" s="2572" t="s">
        <v>17</v>
      </c>
      <c r="C58" s="1816"/>
      <c r="D58" s="2573">
        <f>E58+F58+G58+H58</f>
        <v>0</v>
      </c>
      <c r="E58" s="2574">
        <v>0</v>
      </c>
      <c r="F58" s="2574">
        <v>0</v>
      </c>
      <c r="G58" s="2574">
        <v>0</v>
      </c>
      <c r="H58" s="2574">
        <v>0</v>
      </c>
      <c r="I58" s="2575">
        <f>J58+K58+L58+M58</f>
        <v>0</v>
      </c>
      <c r="J58" s="2576">
        <f t="shared" ref="J58:N59" si="44">J59</f>
        <v>0</v>
      </c>
      <c r="K58" s="2569">
        <f t="shared" si="44"/>
        <v>0</v>
      </c>
      <c r="L58" s="2569">
        <f t="shared" si="44"/>
        <v>0</v>
      </c>
      <c r="M58" s="2577">
        <f t="shared" si="44"/>
        <v>0</v>
      </c>
      <c r="N58" s="2578">
        <f t="shared" si="44"/>
        <v>0</v>
      </c>
      <c r="O58" s="2579" t="e">
        <f t="shared" ref="O58:O60" si="45">+N58/I58*100</f>
        <v>#DIV/0!</v>
      </c>
      <c r="P58" s="2580">
        <f>P59</f>
        <v>0</v>
      </c>
      <c r="Q58" s="2126" t="e">
        <f t="shared" si="15"/>
        <v>#DIV/0!</v>
      </c>
      <c r="R58" s="2569">
        <f t="shared" si="43"/>
        <v>0</v>
      </c>
      <c r="S58" s="3074"/>
      <c r="T58" s="300"/>
    </row>
    <row r="59" spans="1:20" ht="12" hidden="1" customHeight="1" x14ac:dyDescent="0.2">
      <c r="A59" s="3286"/>
      <c r="B59" s="2581" t="s">
        <v>13</v>
      </c>
      <c r="C59" s="3077" t="s">
        <v>267</v>
      </c>
      <c r="D59" s="2582">
        <f>E59+F59+G59+H59</f>
        <v>0</v>
      </c>
      <c r="E59" s="2583">
        <v>0</v>
      </c>
      <c r="F59" s="2583">
        <v>0</v>
      </c>
      <c r="G59" s="2583">
        <v>0</v>
      </c>
      <c r="H59" s="2583">
        <v>0</v>
      </c>
      <c r="I59" s="2584">
        <f>J59+K59+L59+M59</f>
        <v>0</v>
      </c>
      <c r="J59" s="2583">
        <f t="shared" si="44"/>
        <v>0</v>
      </c>
      <c r="K59" s="2522">
        <f t="shared" si="44"/>
        <v>0</v>
      </c>
      <c r="L59" s="2522">
        <f t="shared" si="44"/>
        <v>0</v>
      </c>
      <c r="M59" s="2585">
        <f t="shared" si="44"/>
        <v>0</v>
      </c>
      <c r="N59" s="2586">
        <f t="shared" si="44"/>
        <v>0</v>
      </c>
      <c r="O59" s="2587" t="e">
        <f t="shared" si="45"/>
        <v>#DIV/0!</v>
      </c>
      <c r="P59" s="2588">
        <f>P60</f>
        <v>0</v>
      </c>
      <c r="Q59" s="2126" t="e">
        <f t="shared" si="15"/>
        <v>#DIV/0!</v>
      </c>
      <c r="R59" s="2522">
        <f t="shared" si="43"/>
        <v>0</v>
      </c>
      <c r="S59" s="3074"/>
      <c r="T59" s="300"/>
    </row>
    <row r="60" spans="1:20" ht="12" hidden="1" customHeight="1" thickBot="1" x14ac:dyDescent="0.25">
      <c r="A60" s="3287"/>
      <c r="B60" s="2589" t="s">
        <v>15</v>
      </c>
      <c r="C60" s="3056"/>
      <c r="D60" s="2590">
        <f>E60+F60+G60+H60</f>
        <v>0</v>
      </c>
      <c r="E60" s="2227">
        <v>0</v>
      </c>
      <c r="F60" s="2227">
        <v>0</v>
      </c>
      <c r="G60" s="2227">
        <v>0</v>
      </c>
      <c r="H60" s="2227">
        <v>0</v>
      </c>
      <c r="I60" s="2591">
        <f>J60+K60+L60+M60</f>
        <v>0</v>
      </c>
      <c r="J60" s="2227">
        <v>0</v>
      </c>
      <c r="K60" s="2217"/>
      <c r="L60" s="2217"/>
      <c r="M60" s="2592"/>
      <c r="N60" s="2593">
        <f>P60+J60+K60</f>
        <v>0</v>
      </c>
      <c r="O60" s="2594" t="e">
        <f t="shared" si="45"/>
        <v>#DIV/0!</v>
      </c>
      <c r="P60" s="2595"/>
      <c r="Q60" s="2596" t="e">
        <f t="shared" si="15"/>
        <v>#DIV/0!</v>
      </c>
      <c r="R60" s="2217">
        <f t="shared" si="43"/>
        <v>0</v>
      </c>
      <c r="S60" s="3075"/>
      <c r="T60" s="300"/>
    </row>
    <row r="61" spans="1:20" ht="31.5" customHeight="1" thickBot="1" x14ac:dyDescent="0.25">
      <c r="A61" s="3061" t="s">
        <v>270</v>
      </c>
      <c r="B61" s="3289"/>
      <c r="C61" s="3289"/>
      <c r="D61" s="3289"/>
      <c r="E61" s="3289"/>
      <c r="F61" s="3289"/>
      <c r="G61" s="3289"/>
      <c r="H61" s="3289"/>
      <c r="I61" s="3289"/>
      <c r="J61" s="3289"/>
      <c r="K61" s="3289"/>
      <c r="L61" s="3289"/>
      <c r="M61" s="3289"/>
      <c r="N61" s="3290"/>
      <c r="O61" s="3290"/>
      <c r="P61" s="3290"/>
      <c r="Q61" s="3290"/>
      <c r="R61" s="3290"/>
      <c r="S61" s="3290"/>
      <c r="T61" s="300"/>
    </row>
    <row r="62" spans="1:20" ht="18.75" thickBot="1" x14ac:dyDescent="0.25">
      <c r="A62" s="2597"/>
      <c r="B62" s="264" t="s">
        <v>220</v>
      </c>
      <c r="C62" s="509"/>
      <c r="D62" s="35">
        <f t="shared" ref="D62:H62" si="46">D63+D64</f>
        <v>57255000</v>
      </c>
      <c r="E62" s="36">
        <f t="shared" si="46"/>
        <v>56256000</v>
      </c>
      <c r="F62" s="36">
        <f t="shared" si="46"/>
        <v>999000</v>
      </c>
      <c r="G62" s="2598">
        <f t="shared" si="46"/>
        <v>0</v>
      </c>
      <c r="H62" s="2401">
        <f t="shared" si="46"/>
        <v>0</v>
      </c>
      <c r="I62" s="35">
        <f t="shared" ref="I62:N62" si="47">I63+I64</f>
        <v>57255000</v>
      </c>
      <c r="J62" s="36">
        <f t="shared" si="47"/>
        <v>56256000</v>
      </c>
      <c r="K62" s="36">
        <f t="shared" si="47"/>
        <v>999000</v>
      </c>
      <c r="L62" s="2598">
        <f t="shared" si="47"/>
        <v>0</v>
      </c>
      <c r="M62" s="2401">
        <f t="shared" si="47"/>
        <v>0</v>
      </c>
      <c r="N62" s="35">
        <f t="shared" si="47"/>
        <v>57255000</v>
      </c>
      <c r="O62" s="156">
        <f>+N62/I62*100</f>
        <v>100</v>
      </c>
      <c r="P62" s="2598">
        <f>P63+P64</f>
        <v>0</v>
      </c>
      <c r="Q62" s="2599">
        <v>0</v>
      </c>
      <c r="R62" s="2600">
        <f>R63+R64*0.25</f>
        <v>0</v>
      </c>
      <c r="S62" s="2601"/>
    </row>
    <row r="63" spans="1:20" ht="13.5" customHeight="1" thickTop="1" x14ac:dyDescent="0.2">
      <c r="A63" s="2602"/>
      <c r="B63" s="273" t="s">
        <v>221</v>
      </c>
      <c r="C63" s="1960"/>
      <c r="D63" s="2402">
        <f t="shared" ref="D63:H63" si="48">D74</f>
        <v>0</v>
      </c>
      <c r="E63" s="519">
        <f t="shared" si="48"/>
        <v>0</v>
      </c>
      <c r="F63" s="519">
        <f t="shared" si="48"/>
        <v>0</v>
      </c>
      <c r="G63" s="519">
        <f t="shared" si="48"/>
        <v>0</v>
      </c>
      <c r="H63" s="2603">
        <f t="shared" si="48"/>
        <v>0</v>
      </c>
      <c r="I63" s="2402">
        <f t="shared" ref="I63:N63" si="49">I74</f>
        <v>0</v>
      </c>
      <c r="J63" s="519">
        <f t="shared" si="49"/>
        <v>0</v>
      </c>
      <c r="K63" s="519">
        <f t="shared" si="49"/>
        <v>0</v>
      </c>
      <c r="L63" s="519">
        <f t="shared" si="49"/>
        <v>0</v>
      </c>
      <c r="M63" s="2603">
        <f t="shared" si="49"/>
        <v>0</v>
      </c>
      <c r="N63" s="2604">
        <f t="shared" si="49"/>
        <v>0</v>
      </c>
      <c r="O63" s="519">
        <v>0</v>
      </c>
      <c r="P63" s="519">
        <f>P74</f>
        <v>0</v>
      </c>
      <c r="Q63" s="2403">
        <v>0</v>
      </c>
      <c r="R63" s="2605">
        <f t="shared" ref="R63:R70" si="50">R64+R65*0.25</f>
        <v>0</v>
      </c>
      <c r="S63" s="2469"/>
    </row>
    <row r="64" spans="1:20" ht="13.5" customHeight="1" thickBot="1" x14ac:dyDescent="0.25">
      <c r="A64" s="2606"/>
      <c r="B64" s="523" t="s">
        <v>222</v>
      </c>
      <c r="C64" s="524"/>
      <c r="D64" s="2470">
        <f>D69</f>
        <v>57255000</v>
      </c>
      <c r="E64" s="2299">
        <f>E71</f>
        <v>56256000</v>
      </c>
      <c r="F64" s="2299">
        <f>F71</f>
        <v>999000</v>
      </c>
      <c r="G64" s="2403">
        <f>G71</f>
        <v>0</v>
      </c>
      <c r="H64" s="2403">
        <f>H71</f>
        <v>0</v>
      </c>
      <c r="I64" s="2470">
        <f>I69</f>
        <v>57255000</v>
      </c>
      <c r="J64" s="2299">
        <f>J71</f>
        <v>56256000</v>
      </c>
      <c r="K64" s="2299">
        <f>K71</f>
        <v>999000</v>
      </c>
      <c r="L64" s="2403">
        <f>L71</f>
        <v>0</v>
      </c>
      <c r="M64" s="2403">
        <f>M71</f>
        <v>0</v>
      </c>
      <c r="N64" s="2470">
        <f>N69</f>
        <v>57255000</v>
      </c>
      <c r="O64" s="2607">
        <f>+N64/I64*100</f>
        <v>100</v>
      </c>
      <c r="P64" s="2608">
        <v>0</v>
      </c>
      <c r="Q64" s="2609">
        <v>0</v>
      </c>
      <c r="R64" s="2610">
        <f t="shared" si="50"/>
        <v>0</v>
      </c>
      <c r="S64" s="2469"/>
    </row>
    <row r="65" spans="1:19" ht="14.25" customHeight="1" x14ac:dyDescent="0.2">
      <c r="A65" s="3291"/>
      <c r="B65" s="1424" t="s">
        <v>3</v>
      </c>
      <c r="C65" s="1425"/>
      <c r="D65" s="2611">
        <f t="shared" ref="D65:N66" si="51">+D66</f>
        <v>57255000</v>
      </c>
      <c r="E65" s="2612">
        <f t="shared" si="51"/>
        <v>56256000</v>
      </c>
      <c r="F65" s="2612">
        <f t="shared" si="51"/>
        <v>999000</v>
      </c>
      <c r="G65" s="2613">
        <f t="shared" si="51"/>
        <v>0</v>
      </c>
      <c r="H65" s="2613">
        <f t="shared" si="51"/>
        <v>0</v>
      </c>
      <c r="I65" s="2611">
        <f t="shared" si="51"/>
        <v>57255000</v>
      </c>
      <c r="J65" s="2612">
        <f t="shared" si="51"/>
        <v>56256000</v>
      </c>
      <c r="K65" s="2612">
        <f t="shared" si="51"/>
        <v>999000</v>
      </c>
      <c r="L65" s="2613">
        <f t="shared" si="51"/>
        <v>0</v>
      </c>
      <c r="M65" s="2613">
        <f t="shared" si="51"/>
        <v>0</v>
      </c>
      <c r="N65" s="2614">
        <f t="shared" si="51"/>
        <v>57255000</v>
      </c>
      <c r="O65" s="2615">
        <f>+N65/I65*100</f>
        <v>100</v>
      </c>
      <c r="P65" s="2613">
        <f>+P66</f>
        <v>0</v>
      </c>
      <c r="Q65" s="2613">
        <v>0</v>
      </c>
      <c r="R65" s="2616">
        <f t="shared" si="50"/>
        <v>0</v>
      </c>
      <c r="S65" s="3294" t="s">
        <v>97</v>
      </c>
    </row>
    <row r="66" spans="1:19" ht="14.25" customHeight="1" x14ac:dyDescent="0.2">
      <c r="A66" s="3292"/>
      <c r="B66" s="2617" t="s">
        <v>4</v>
      </c>
      <c r="C66" s="3297" t="s">
        <v>97</v>
      </c>
      <c r="D66" s="2618">
        <f t="shared" si="51"/>
        <v>57255000</v>
      </c>
      <c r="E66" s="2619">
        <f t="shared" si="51"/>
        <v>56256000</v>
      </c>
      <c r="F66" s="2619">
        <f t="shared" si="51"/>
        <v>999000</v>
      </c>
      <c r="G66" s="2620">
        <f t="shared" si="51"/>
        <v>0</v>
      </c>
      <c r="H66" s="2620">
        <f t="shared" si="51"/>
        <v>0</v>
      </c>
      <c r="I66" s="2618">
        <f t="shared" si="51"/>
        <v>57255000</v>
      </c>
      <c r="J66" s="2619">
        <f t="shared" si="51"/>
        <v>56256000</v>
      </c>
      <c r="K66" s="2619">
        <f t="shared" si="51"/>
        <v>999000</v>
      </c>
      <c r="L66" s="2620">
        <f t="shared" si="51"/>
        <v>0</v>
      </c>
      <c r="M66" s="2620">
        <f t="shared" si="51"/>
        <v>0</v>
      </c>
      <c r="N66" s="2621">
        <f t="shared" si="51"/>
        <v>57255000</v>
      </c>
      <c r="O66" s="2622">
        <f>+N66/I66*100</f>
        <v>100</v>
      </c>
      <c r="P66" s="2623">
        <f>+P67</f>
        <v>0</v>
      </c>
      <c r="Q66" s="2623">
        <v>0</v>
      </c>
      <c r="R66" s="2624">
        <f t="shared" si="50"/>
        <v>0</v>
      </c>
      <c r="S66" s="3295"/>
    </row>
    <row r="67" spans="1:19" ht="14.25" customHeight="1" thickBot="1" x14ac:dyDescent="0.25">
      <c r="A67" s="3293"/>
      <c r="B67" s="2625" t="s">
        <v>5</v>
      </c>
      <c r="C67" s="3298"/>
      <c r="D67" s="2626">
        <f>+E67+F67+G67+H67</f>
        <v>57255000</v>
      </c>
      <c r="E67" s="2627">
        <f>E71</f>
        <v>56256000</v>
      </c>
      <c r="F67" s="2627">
        <f>F71</f>
        <v>999000</v>
      </c>
      <c r="G67" s="2628">
        <f>G71</f>
        <v>0</v>
      </c>
      <c r="H67" s="2628">
        <f>H71</f>
        <v>0</v>
      </c>
      <c r="I67" s="2626">
        <f>+J67+K67+L67+M67</f>
        <v>57255000</v>
      </c>
      <c r="J67" s="2627">
        <f>J71</f>
        <v>56256000</v>
      </c>
      <c r="K67" s="2627">
        <f>K71</f>
        <v>999000</v>
      </c>
      <c r="L67" s="2628">
        <f>L71</f>
        <v>0</v>
      </c>
      <c r="M67" s="2628">
        <f>M71</f>
        <v>0</v>
      </c>
      <c r="N67" s="2626">
        <f>N71</f>
        <v>57255000</v>
      </c>
      <c r="O67" s="2629">
        <f>+N67/I67*100</f>
        <v>100</v>
      </c>
      <c r="P67" s="2630">
        <f>P71</f>
        <v>0</v>
      </c>
      <c r="Q67" s="2631">
        <v>0</v>
      </c>
      <c r="R67" s="2632">
        <f t="shared" si="50"/>
        <v>0</v>
      </c>
      <c r="S67" s="3296"/>
    </row>
    <row r="68" spans="1:19" ht="16.5" customHeight="1" x14ac:dyDescent="0.2">
      <c r="A68" s="3299" t="s">
        <v>40</v>
      </c>
      <c r="B68" s="1806" t="s">
        <v>271</v>
      </c>
      <c r="C68" s="1807" t="s">
        <v>225</v>
      </c>
      <c r="D68" s="1808"/>
      <c r="E68" s="1810"/>
      <c r="F68" s="1810"/>
      <c r="G68" s="1809"/>
      <c r="H68" s="2633"/>
      <c r="I68" s="1808"/>
      <c r="J68" s="1810"/>
      <c r="K68" s="1810"/>
      <c r="L68" s="1809"/>
      <c r="M68" s="2633"/>
      <c r="N68" s="1808"/>
      <c r="O68" s="1813"/>
      <c r="P68" s="1809"/>
      <c r="Q68" s="1809"/>
      <c r="R68" s="2634">
        <f t="shared" si="50"/>
        <v>0</v>
      </c>
      <c r="S68" s="3051" t="s">
        <v>272</v>
      </c>
    </row>
    <row r="69" spans="1:19" ht="14.25" customHeight="1" x14ac:dyDescent="0.2">
      <c r="A69" s="3049"/>
      <c r="B69" s="1815" t="s">
        <v>3</v>
      </c>
      <c r="C69" s="2541"/>
      <c r="D69" s="2542">
        <f>+D70</f>
        <v>57255000</v>
      </c>
      <c r="E69" s="2548">
        <f t="shared" ref="E69:G70" si="52">E70</f>
        <v>56256000</v>
      </c>
      <c r="F69" s="2548">
        <f t="shared" si="52"/>
        <v>999000</v>
      </c>
      <c r="G69" s="1901">
        <f t="shared" si="52"/>
        <v>0</v>
      </c>
      <c r="H69" s="2635">
        <f>H70</f>
        <v>0</v>
      </c>
      <c r="I69" s="2542">
        <f>+I70</f>
        <v>57255000</v>
      </c>
      <c r="J69" s="2548">
        <f t="shared" ref="J69:L70" si="53">J70</f>
        <v>56256000</v>
      </c>
      <c r="K69" s="2548">
        <f t="shared" si="53"/>
        <v>999000</v>
      </c>
      <c r="L69" s="1901">
        <f t="shared" si="53"/>
        <v>0</v>
      </c>
      <c r="M69" s="2635">
        <f>M70</f>
        <v>0</v>
      </c>
      <c r="N69" s="2542">
        <f>P69+J69+K69</f>
        <v>57255000</v>
      </c>
      <c r="O69" s="2547">
        <f>+N69/I69*100</f>
        <v>100</v>
      </c>
      <c r="P69" s="2543">
        <f>P70</f>
        <v>0</v>
      </c>
      <c r="Q69" s="1901">
        <v>0</v>
      </c>
      <c r="R69" s="2636">
        <f t="shared" si="50"/>
        <v>0</v>
      </c>
      <c r="S69" s="3052"/>
    </row>
    <row r="70" spans="1:19" ht="14.25" customHeight="1" x14ac:dyDescent="0.2">
      <c r="A70" s="3049"/>
      <c r="B70" s="2637" t="s">
        <v>18</v>
      </c>
      <c r="C70" s="3288" t="s">
        <v>273</v>
      </c>
      <c r="D70" s="2550">
        <f>+D71</f>
        <v>57255000</v>
      </c>
      <c r="E70" s="2552">
        <f t="shared" si="52"/>
        <v>56256000</v>
      </c>
      <c r="F70" s="2552">
        <f t="shared" si="52"/>
        <v>999000</v>
      </c>
      <c r="G70" s="2551">
        <f t="shared" si="52"/>
        <v>0</v>
      </c>
      <c r="H70" s="2638">
        <f>H71</f>
        <v>0</v>
      </c>
      <c r="I70" s="2550">
        <f>+I71</f>
        <v>57255000</v>
      </c>
      <c r="J70" s="2552">
        <f t="shared" si="53"/>
        <v>56256000</v>
      </c>
      <c r="K70" s="2552">
        <f t="shared" si="53"/>
        <v>999000</v>
      </c>
      <c r="L70" s="2551">
        <f t="shared" si="53"/>
        <v>0</v>
      </c>
      <c r="M70" s="2638">
        <f>M71</f>
        <v>0</v>
      </c>
      <c r="N70" s="2550">
        <f>P70+J70+K70</f>
        <v>57255000</v>
      </c>
      <c r="O70" s="2555">
        <f>+N70/I70*100</f>
        <v>100</v>
      </c>
      <c r="P70" s="2639">
        <f>P71</f>
        <v>0</v>
      </c>
      <c r="Q70" s="2639">
        <v>0</v>
      </c>
      <c r="R70" s="2640">
        <f t="shared" si="50"/>
        <v>0</v>
      </c>
      <c r="S70" s="3300"/>
    </row>
    <row r="71" spans="1:19" ht="14.25" customHeight="1" thickBot="1" x14ac:dyDescent="0.25">
      <c r="A71" s="3050"/>
      <c r="B71" s="1913" t="s">
        <v>5</v>
      </c>
      <c r="C71" s="3015"/>
      <c r="D71" s="2641">
        <f>+E71+F71+G71+H71</f>
        <v>57255000</v>
      </c>
      <c r="E71" s="2642">
        <f>18315000+17982000+14964000+4995000</f>
        <v>56256000</v>
      </c>
      <c r="F71" s="2642">
        <v>999000</v>
      </c>
      <c r="G71" s="2643">
        <v>0</v>
      </c>
      <c r="H71" s="2644">
        <v>0</v>
      </c>
      <c r="I71" s="2641">
        <f>+J71+K71+L71+M71</f>
        <v>57255000</v>
      </c>
      <c r="J71" s="2642">
        <f>18315000+17982000+14964000+4995000</f>
        <v>56256000</v>
      </c>
      <c r="K71" s="2642">
        <v>999000</v>
      </c>
      <c r="L71" s="2643">
        <v>0</v>
      </c>
      <c r="M71" s="2644">
        <v>0</v>
      </c>
      <c r="N71" s="2645">
        <f>P71+J71+K71</f>
        <v>57255000</v>
      </c>
      <c r="O71" s="2646">
        <f>+N71/I71*100</f>
        <v>100</v>
      </c>
      <c r="P71" s="2643">
        <v>0</v>
      </c>
      <c r="Q71" s="2643">
        <v>0</v>
      </c>
      <c r="R71" s="2647">
        <f>R72+R73*0.25</f>
        <v>0</v>
      </c>
      <c r="S71" s="3301"/>
    </row>
    <row r="72" spans="1:19" ht="12" customHeight="1" x14ac:dyDescent="0.2">
      <c r="A72" s="2648"/>
      <c r="B72" s="2649"/>
      <c r="C72" s="472"/>
      <c r="D72" s="2650"/>
      <c r="E72" s="2651"/>
      <c r="F72" s="2651"/>
      <c r="G72" s="2651"/>
      <c r="H72" s="2651"/>
      <c r="I72" s="2652"/>
      <c r="J72" s="2651"/>
      <c r="K72" s="2651"/>
      <c r="L72" s="2653"/>
      <c r="M72" s="2653"/>
      <c r="N72" s="1727"/>
      <c r="O72" s="2654"/>
      <c r="P72" s="2655"/>
      <c r="Q72" s="2654"/>
      <c r="R72" s="2653"/>
      <c r="S72" s="2656"/>
    </row>
    <row r="73" spans="1:19" ht="12" customHeight="1" x14ac:dyDescent="0.2">
      <c r="A73" s="2648"/>
      <c r="B73" s="2649"/>
      <c r="C73" s="472"/>
      <c r="D73" s="2650"/>
      <c r="E73" s="2651"/>
      <c r="F73" s="2651"/>
      <c r="G73" s="2651"/>
      <c r="H73" s="2651"/>
      <c r="I73" s="2652"/>
      <c r="J73" s="2651"/>
      <c r="K73" s="2651"/>
      <c r="L73" s="2653"/>
      <c r="M73" s="2653"/>
      <c r="N73" s="1727"/>
      <c r="O73" s="2654"/>
      <c r="P73" s="2655"/>
      <c r="Q73" s="2654"/>
      <c r="R73" s="2653"/>
      <c r="S73" s="2656"/>
    </row>
    <row r="74" spans="1:19" ht="12" customHeight="1" x14ac:dyDescent="0.2">
      <c r="A74" s="2648"/>
      <c r="B74" s="2649"/>
      <c r="C74" s="472"/>
      <c r="D74" s="2650"/>
      <c r="E74" s="2651"/>
      <c r="F74" s="2651"/>
      <c r="G74" s="2651"/>
      <c r="H74" s="2651"/>
      <c r="I74" s="2652"/>
      <c r="J74" s="2651"/>
      <c r="K74" s="2651"/>
      <c r="L74" s="2653"/>
      <c r="M74" s="2653"/>
      <c r="N74" s="1727"/>
      <c r="O74" s="2654"/>
      <c r="P74" s="2655"/>
      <c r="Q74" s="2654"/>
      <c r="R74" s="2653"/>
      <c r="S74" s="2656"/>
    </row>
    <row r="75" spans="1:19" ht="12" customHeight="1" x14ac:dyDescent="0.2">
      <c r="A75" s="2648"/>
      <c r="B75" s="2649"/>
      <c r="C75" s="472"/>
      <c r="D75" s="2650"/>
      <c r="E75" s="2651"/>
      <c r="F75" s="2651"/>
      <c r="G75" s="2651"/>
      <c r="H75" s="2651"/>
      <c r="I75" s="2652"/>
      <c r="J75" s="2651"/>
      <c r="K75" s="2651"/>
      <c r="L75" s="2653"/>
      <c r="M75" s="2653"/>
      <c r="N75" s="1727"/>
      <c r="O75" s="2654"/>
      <c r="P75" s="2655"/>
      <c r="Q75" s="2654"/>
      <c r="R75" s="2653"/>
      <c r="S75" s="2656"/>
    </row>
    <row r="76" spans="1:19" ht="12" customHeight="1" x14ac:dyDescent="0.2">
      <c r="A76" s="2648"/>
      <c r="B76" s="2649"/>
      <c r="C76" s="472"/>
      <c r="D76" s="2650"/>
      <c r="E76" s="2651"/>
      <c r="F76" s="2651"/>
      <c r="G76" s="2651"/>
      <c r="H76" s="2651"/>
      <c r="I76" s="2652"/>
      <c r="J76" s="2651"/>
      <c r="K76" s="2651"/>
      <c r="L76" s="2653"/>
      <c r="M76" s="2653"/>
      <c r="N76" s="1727"/>
      <c r="O76" s="2654"/>
      <c r="P76" s="2655"/>
      <c r="Q76" s="2654"/>
      <c r="R76" s="2653"/>
      <c r="S76" s="2656"/>
    </row>
    <row r="77" spans="1:19" ht="12" customHeight="1" x14ac:dyDescent="0.2">
      <c r="A77" s="2648"/>
      <c r="B77" s="2649"/>
      <c r="C77" s="472"/>
      <c r="D77" s="2650"/>
      <c r="E77" s="2651"/>
      <c r="F77" s="2651"/>
      <c r="G77" s="2651"/>
      <c r="H77" s="2651"/>
      <c r="I77" s="2652"/>
      <c r="J77" s="2651"/>
      <c r="K77" s="2651"/>
      <c r="L77" s="2653"/>
      <c r="M77" s="2653"/>
      <c r="N77" s="1727"/>
      <c r="O77" s="2654"/>
      <c r="P77" s="2655"/>
      <c r="Q77" s="2654"/>
      <c r="R77" s="2653"/>
      <c r="S77" s="2656"/>
    </row>
    <row r="78" spans="1:19" ht="12" customHeight="1" x14ac:dyDescent="0.2">
      <c r="A78" s="2648"/>
      <c r="B78" s="2649"/>
      <c r="C78" s="472"/>
      <c r="D78" s="2650"/>
      <c r="E78" s="2651"/>
      <c r="F78" s="2651"/>
      <c r="G78" s="2651"/>
      <c r="H78" s="2651"/>
      <c r="I78" s="2652"/>
      <c r="J78" s="2651"/>
      <c r="K78" s="2651"/>
      <c r="L78" s="2653"/>
      <c r="M78" s="2653"/>
      <c r="N78" s="1727"/>
      <c r="O78" s="2654"/>
      <c r="P78" s="2655"/>
      <c r="Q78" s="2654"/>
      <c r="R78" s="2653"/>
      <c r="S78" s="2656"/>
    </row>
    <row r="79" spans="1:19" ht="12" customHeight="1" x14ac:dyDescent="0.2">
      <c r="A79" s="2648"/>
      <c r="B79" s="2649"/>
      <c r="C79" s="472"/>
      <c r="D79" s="2650"/>
      <c r="E79" s="2651"/>
      <c r="F79" s="2651"/>
      <c r="G79" s="2651"/>
      <c r="H79" s="2651"/>
      <c r="I79" s="2652"/>
      <c r="J79" s="2651"/>
      <c r="K79" s="2651"/>
      <c r="L79" s="2653"/>
      <c r="M79" s="2653"/>
      <c r="N79" s="1727"/>
      <c r="O79" s="2654"/>
      <c r="P79" s="2655"/>
      <c r="Q79" s="2654"/>
      <c r="R79" s="2653"/>
      <c r="S79" s="2656"/>
    </row>
    <row r="80" spans="1:19" ht="12" customHeight="1" x14ac:dyDescent="0.2">
      <c r="A80" s="2648"/>
      <c r="B80" s="2649"/>
      <c r="C80" s="472"/>
      <c r="D80" s="2650"/>
      <c r="E80" s="2651"/>
      <c r="F80" s="2651"/>
      <c r="G80" s="2651"/>
      <c r="H80" s="2651"/>
      <c r="I80" s="2652"/>
      <c r="J80" s="2651"/>
      <c r="K80" s="2651"/>
      <c r="L80" s="2653"/>
      <c r="M80" s="2653"/>
      <c r="N80" s="1727"/>
      <c r="O80" s="2654"/>
      <c r="P80" s="2655"/>
      <c r="Q80" s="2654"/>
      <c r="R80" s="2653"/>
      <c r="S80" s="2656"/>
    </row>
    <row r="81" spans="1:19" ht="12" customHeight="1" x14ac:dyDescent="0.2">
      <c r="A81" s="2648"/>
      <c r="B81" s="2649"/>
      <c r="C81" s="472"/>
      <c r="D81" s="2650"/>
      <c r="E81" s="2651"/>
      <c r="F81" s="2651"/>
      <c r="G81" s="2651"/>
      <c r="H81" s="2651"/>
      <c r="I81" s="2652"/>
      <c r="J81" s="2651"/>
      <c r="K81" s="2651"/>
      <c r="L81" s="2653"/>
      <c r="M81" s="2653"/>
      <c r="N81" s="1727"/>
      <c r="O81" s="2654"/>
      <c r="P81" s="2655"/>
      <c r="Q81" s="2654"/>
      <c r="R81" s="2653"/>
      <c r="S81" s="2656"/>
    </row>
    <row r="82" spans="1:19" ht="12" customHeight="1" x14ac:dyDescent="0.2">
      <c r="A82" s="2648"/>
      <c r="B82" s="2649"/>
      <c r="C82" s="472"/>
      <c r="D82" s="2650"/>
      <c r="E82" s="2651"/>
      <c r="F82" s="2651"/>
      <c r="G82" s="2651"/>
      <c r="H82" s="2651"/>
      <c r="I82" s="2652"/>
      <c r="J82" s="2651"/>
      <c r="K82" s="2651"/>
      <c r="L82" s="2653"/>
      <c r="M82" s="2653"/>
      <c r="N82" s="1727"/>
      <c r="O82" s="2654"/>
      <c r="P82" s="2655"/>
      <c r="Q82" s="2654"/>
      <c r="R82" s="2653"/>
      <c r="S82" s="2656"/>
    </row>
    <row r="83" spans="1:19" ht="12" customHeight="1" x14ac:dyDescent="0.2">
      <c r="A83" s="2648"/>
      <c r="B83" s="2649"/>
      <c r="C83" s="472"/>
      <c r="D83" s="2650"/>
      <c r="E83" s="2651"/>
      <c r="F83" s="2651"/>
      <c r="G83" s="2651"/>
      <c r="H83" s="2651"/>
      <c r="I83" s="2652"/>
      <c r="J83" s="2651"/>
      <c r="K83" s="2651"/>
      <c r="L83" s="2653"/>
      <c r="M83" s="2653"/>
      <c r="N83" s="1727"/>
      <c r="O83" s="2654"/>
      <c r="P83" s="2655"/>
      <c r="Q83" s="2654"/>
      <c r="R83" s="2653"/>
      <c r="S83" s="2656"/>
    </row>
    <row r="84" spans="1:19" ht="12" customHeight="1" x14ac:dyDescent="0.2">
      <c r="A84" s="2648"/>
      <c r="B84" s="2649"/>
      <c r="C84" s="472"/>
      <c r="D84" s="2650"/>
      <c r="E84" s="2651"/>
      <c r="F84" s="2651"/>
      <c r="G84" s="2651"/>
      <c r="H84" s="2651"/>
      <c r="I84" s="2652"/>
      <c r="J84" s="2651"/>
      <c r="K84" s="2651"/>
      <c r="L84" s="2653"/>
      <c r="M84" s="2653"/>
      <c r="N84" s="1727"/>
      <c r="O84" s="2654"/>
      <c r="P84" s="2655"/>
      <c r="Q84" s="2654"/>
      <c r="R84" s="2653"/>
      <c r="S84" s="2656"/>
    </row>
    <row r="85" spans="1:19" ht="12" customHeight="1" x14ac:dyDescent="0.2">
      <c r="A85" s="2648"/>
      <c r="B85" s="2649"/>
      <c r="C85" s="472"/>
      <c r="D85" s="2650"/>
      <c r="E85" s="2651"/>
      <c r="F85" s="2651"/>
      <c r="G85" s="2651"/>
      <c r="H85" s="2651"/>
      <c r="I85" s="2652"/>
      <c r="J85" s="2651"/>
      <c r="K85" s="2651"/>
      <c r="L85" s="2653"/>
      <c r="M85" s="2653"/>
      <c r="N85" s="1727"/>
      <c r="O85" s="2654"/>
      <c r="P85" s="2655"/>
      <c r="Q85" s="2654"/>
      <c r="R85" s="2653"/>
      <c r="S85" s="2656"/>
    </row>
    <row r="86" spans="1:19" ht="12" customHeight="1" x14ac:dyDescent="0.2">
      <c r="A86" s="2648"/>
      <c r="B86" s="2649"/>
      <c r="C86" s="472"/>
      <c r="D86" s="2650"/>
      <c r="E86" s="2651"/>
      <c r="F86" s="2651"/>
      <c r="G86" s="2651"/>
      <c r="H86" s="2651"/>
      <c r="I86" s="2652"/>
      <c r="J86" s="2651"/>
      <c r="K86" s="2651"/>
      <c r="L86" s="2653"/>
      <c r="M86" s="2653"/>
      <c r="N86" s="1727"/>
      <c r="O86" s="2654"/>
      <c r="P86" s="2655"/>
      <c r="Q86" s="2654"/>
      <c r="R86" s="2653"/>
      <c r="S86" s="2656"/>
    </row>
    <row r="87" spans="1:19" ht="12" customHeight="1" x14ac:dyDescent="0.2">
      <c r="A87" s="2648"/>
      <c r="B87" s="2649"/>
      <c r="C87" s="472"/>
      <c r="D87" s="2650"/>
      <c r="E87" s="2651"/>
      <c r="F87" s="2651"/>
      <c r="G87" s="2651"/>
      <c r="H87" s="2651"/>
      <c r="I87" s="2652"/>
      <c r="J87" s="2651"/>
      <c r="K87" s="2651"/>
      <c r="L87" s="2653"/>
      <c r="M87" s="2653"/>
      <c r="N87" s="1727"/>
      <c r="O87" s="2654"/>
      <c r="P87" s="2655"/>
      <c r="Q87" s="2654"/>
      <c r="R87" s="2653"/>
      <c r="S87" s="2656"/>
    </row>
    <row r="88" spans="1:19" ht="12" customHeight="1" x14ac:dyDescent="0.2">
      <c r="A88" s="2648"/>
      <c r="B88" s="2649"/>
      <c r="C88" s="472"/>
      <c r="D88" s="2650"/>
      <c r="E88" s="2651"/>
      <c r="F88" s="2651"/>
      <c r="G88" s="2651"/>
      <c r="H88" s="2651"/>
      <c r="I88" s="2652"/>
      <c r="J88" s="2651"/>
      <c r="K88" s="2651"/>
      <c r="L88" s="2653"/>
      <c r="M88" s="2653"/>
      <c r="N88" s="1727"/>
      <c r="O88" s="2654"/>
      <c r="P88" s="2655"/>
      <c r="Q88" s="2654"/>
      <c r="R88" s="2653"/>
      <c r="S88" s="2656"/>
    </row>
    <row r="89" spans="1:19" ht="12" customHeight="1" x14ac:dyDescent="0.2">
      <c r="A89" s="2648"/>
      <c r="B89" s="2649"/>
      <c r="C89" s="472"/>
      <c r="D89" s="2650"/>
      <c r="E89" s="2651"/>
      <c r="F89" s="2651"/>
      <c r="G89" s="2651"/>
      <c r="H89" s="2651"/>
      <c r="I89" s="2652"/>
      <c r="J89" s="2651"/>
      <c r="K89" s="2651"/>
      <c r="L89" s="2653"/>
      <c r="M89" s="2653"/>
      <c r="N89" s="1727"/>
      <c r="O89" s="2654"/>
      <c r="P89" s="2655"/>
      <c r="Q89" s="2654"/>
      <c r="R89" s="2653"/>
      <c r="S89" s="2656"/>
    </row>
    <row r="90" spans="1:19" ht="12" customHeight="1" x14ac:dyDescent="0.2">
      <c r="A90" s="2648"/>
      <c r="B90" s="2649"/>
      <c r="C90" s="472"/>
      <c r="D90" s="2650"/>
      <c r="E90" s="2651"/>
      <c r="F90" s="2651"/>
      <c r="G90" s="2651"/>
      <c r="H90" s="2651"/>
      <c r="I90" s="2652"/>
      <c r="J90" s="2651"/>
      <c r="K90" s="2651"/>
      <c r="L90" s="2653"/>
      <c r="M90" s="2653"/>
      <c r="N90" s="1727"/>
      <c r="O90" s="2654"/>
      <c r="P90" s="2655"/>
      <c r="Q90" s="2654"/>
      <c r="R90" s="2653"/>
      <c r="S90" s="2656"/>
    </row>
    <row r="91" spans="1:19" ht="12" customHeight="1" x14ac:dyDescent="0.2">
      <c r="A91" s="2648"/>
      <c r="B91" s="2649"/>
      <c r="C91" s="472"/>
      <c r="D91" s="2650"/>
      <c r="E91" s="2651"/>
      <c r="F91" s="2651"/>
      <c r="G91" s="2651"/>
      <c r="H91" s="2651"/>
      <c r="I91" s="2652"/>
      <c r="J91" s="2651"/>
      <c r="K91" s="2651"/>
      <c r="L91" s="2653"/>
      <c r="M91" s="2653"/>
      <c r="N91" s="1727"/>
      <c r="O91" s="2654"/>
      <c r="P91" s="2655"/>
      <c r="Q91" s="2654"/>
      <c r="R91" s="2653"/>
      <c r="S91" s="2656"/>
    </row>
    <row r="92" spans="1:19" ht="12" customHeight="1" x14ac:dyDescent="0.2">
      <c r="A92" s="2648"/>
      <c r="B92" s="2649"/>
      <c r="C92" s="472"/>
      <c r="D92" s="2650"/>
      <c r="E92" s="2651"/>
      <c r="F92" s="2651"/>
      <c r="G92" s="2651"/>
      <c r="H92" s="2651"/>
      <c r="I92" s="2652"/>
      <c r="J92" s="2651"/>
      <c r="K92" s="2651"/>
      <c r="L92" s="2653"/>
      <c r="M92" s="2653"/>
      <c r="N92" s="1727"/>
      <c r="O92" s="2654"/>
      <c r="P92" s="2655"/>
      <c r="Q92" s="2654"/>
      <c r="R92" s="2653"/>
      <c r="S92" s="2656"/>
    </row>
    <row r="93" spans="1:19" ht="12" customHeight="1" x14ac:dyDescent="0.2">
      <c r="A93" s="2648"/>
      <c r="B93" s="2649"/>
      <c r="C93" s="472"/>
      <c r="D93" s="2650"/>
      <c r="E93" s="2651"/>
      <c r="F93" s="2651"/>
      <c r="G93" s="2651"/>
      <c r="H93" s="2651"/>
      <c r="I93" s="2652"/>
      <c r="J93" s="2651"/>
      <c r="K93" s="2651"/>
      <c r="L93" s="2653"/>
      <c r="M93" s="2653"/>
      <c r="N93" s="1727"/>
      <c r="O93" s="2654"/>
      <c r="P93" s="2655"/>
      <c r="Q93" s="2654"/>
      <c r="R93" s="2653"/>
      <c r="S93" s="2656"/>
    </row>
    <row r="94" spans="1:19" ht="12" customHeight="1" x14ac:dyDescent="0.2">
      <c r="A94" s="2648"/>
      <c r="B94" s="2649"/>
      <c r="C94" s="472"/>
      <c r="D94" s="2650"/>
      <c r="E94" s="2651"/>
      <c r="F94" s="2651"/>
      <c r="G94" s="2651"/>
      <c r="H94" s="2651"/>
      <c r="I94" s="2652"/>
      <c r="J94" s="2651"/>
      <c r="K94" s="2651"/>
      <c r="L94" s="2653"/>
      <c r="M94" s="2653"/>
      <c r="N94" s="1727"/>
      <c r="O94" s="2654"/>
      <c r="P94" s="2655"/>
      <c r="Q94" s="2654"/>
      <c r="R94" s="2653"/>
      <c r="S94" s="2656"/>
    </row>
    <row r="95" spans="1:19" ht="12" customHeight="1" x14ac:dyDescent="0.2">
      <c r="A95" s="2648"/>
      <c r="B95" s="2649"/>
      <c r="C95" s="472"/>
      <c r="D95" s="2650"/>
      <c r="E95" s="2651"/>
      <c r="F95" s="2651"/>
      <c r="G95" s="2651"/>
      <c r="H95" s="2651"/>
      <c r="I95" s="2652"/>
      <c r="J95" s="2651"/>
      <c r="K95" s="2651"/>
      <c r="L95" s="2653"/>
      <c r="M95" s="2653"/>
      <c r="N95" s="1727"/>
      <c r="O95" s="2654"/>
      <c r="P95" s="2655"/>
      <c r="Q95" s="2654"/>
      <c r="R95" s="2653"/>
      <c r="S95" s="2656"/>
    </row>
    <row r="96" spans="1:19" ht="12" customHeight="1" x14ac:dyDescent="0.2">
      <c r="A96" s="2648"/>
      <c r="B96" s="2649"/>
      <c r="C96" s="472"/>
      <c r="D96" s="2650"/>
      <c r="E96" s="2651"/>
      <c r="F96" s="2651"/>
      <c r="G96" s="2651"/>
      <c r="H96" s="2651"/>
      <c r="I96" s="2652"/>
      <c r="J96" s="2651"/>
      <c r="K96" s="2651"/>
      <c r="L96" s="2653"/>
      <c r="M96" s="2653"/>
      <c r="N96" s="1727"/>
      <c r="O96" s="2654"/>
      <c r="P96" s="2655"/>
      <c r="Q96" s="2654"/>
      <c r="R96" s="2653"/>
      <c r="S96" s="2656"/>
    </row>
    <row r="97" spans="1:19" ht="12" customHeight="1" x14ac:dyDescent="0.2">
      <c r="A97" s="2648"/>
      <c r="B97" s="2649"/>
      <c r="C97" s="472"/>
      <c r="D97" s="2650"/>
      <c r="E97" s="2651"/>
      <c r="F97" s="2651"/>
      <c r="G97" s="2651"/>
      <c r="H97" s="2651"/>
      <c r="I97" s="2652"/>
      <c r="J97" s="2651"/>
      <c r="K97" s="2651"/>
      <c r="L97" s="2653"/>
      <c r="M97" s="2653"/>
      <c r="N97" s="1727"/>
      <c r="O97" s="2654"/>
      <c r="P97" s="2655"/>
      <c r="Q97" s="2654"/>
      <c r="R97" s="2653"/>
      <c r="S97" s="2656"/>
    </row>
    <row r="98" spans="1:19" x14ac:dyDescent="0.2">
      <c r="E98" s="1751"/>
      <c r="F98" s="1751"/>
      <c r="G98" s="1751"/>
      <c r="H98" s="1751"/>
      <c r="I98" s="1751"/>
      <c r="J98" s="1751"/>
      <c r="K98" s="1751"/>
      <c r="L98" s="1751"/>
      <c r="M98" s="1751"/>
      <c r="N98" s="1751"/>
      <c r="O98" s="1751"/>
      <c r="S98" s="1938"/>
    </row>
    <row r="99" spans="1:19" x14ac:dyDescent="0.2">
      <c r="E99" s="1751"/>
      <c r="F99" s="1751"/>
      <c r="G99" s="1751"/>
      <c r="H99" s="1751"/>
      <c r="I99" s="1751"/>
      <c r="J99" s="1751"/>
      <c r="K99" s="1751"/>
      <c r="L99" s="1751"/>
      <c r="M99" s="1751"/>
      <c r="N99" s="1751"/>
      <c r="O99" s="1751"/>
      <c r="S99" s="1938"/>
    </row>
    <row r="100" spans="1:19" x14ac:dyDescent="0.2">
      <c r="E100" s="1751"/>
      <c r="F100" s="1751"/>
      <c r="G100" s="1751"/>
      <c r="H100" s="1751"/>
      <c r="I100" s="1751"/>
      <c r="J100" s="1751"/>
      <c r="K100" s="1751"/>
      <c r="L100" s="1751"/>
      <c r="M100" s="1751"/>
      <c r="N100" s="1751"/>
      <c r="O100" s="1751"/>
      <c r="S100" s="1938"/>
    </row>
    <row r="101" spans="1:19" x14ac:dyDescent="0.2">
      <c r="E101" s="1751"/>
      <c r="F101" s="1751"/>
      <c r="G101" s="1751"/>
      <c r="H101" s="1751"/>
      <c r="I101" s="1751"/>
      <c r="J101" s="1751"/>
      <c r="K101" s="1751"/>
      <c r="L101" s="1751"/>
      <c r="M101" s="1751"/>
      <c r="N101" s="1751"/>
      <c r="O101" s="1751"/>
      <c r="S101" s="1938"/>
    </row>
    <row r="102" spans="1:19" x14ac:dyDescent="0.2">
      <c r="E102" s="1751"/>
      <c r="F102" s="1751"/>
      <c r="G102" s="1751"/>
      <c r="H102" s="1751"/>
      <c r="I102" s="1751"/>
      <c r="J102" s="1751"/>
      <c r="K102" s="1751"/>
      <c r="L102" s="1751"/>
      <c r="M102" s="1751"/>
      <c r="N102" s="1751"/>
      <c r="O102" s="1751"/>
      <c r="S102" s="1938"/>
    </row>
    <row r="103" spans="1:19" x14ac:dyDescent="0.2">
      <c r="E103" s="1751"/>
      <c r="F103" s="1751"/>
      <c r="G103" s="1751"/>
      <c r="H103" s="1751"/>
      <c r="I103" s="1751"/>
      <c r="J103" s="1751"/>
      <c r="K103" s="1751"/>
      <c r="L103" s="1751"/>
      <c r="M103" s="1751"/>
      <c r="N103" s="1751"/>
      <c r="O103" s="1751"/>
      <c r="S103" s="1938"/>
    </row>
    <row r="104" spans="1:19" x14ac:dyDescent="0.2">
      <c r="E104" s="1751"/>
      <c r="F104" s="1751"/>
      <c r="G104" s="1751"/>
      <c r="H104" s="1751"/>
      <c r="I104" s="1751"/>
      <c r="J104" s="1751"/>
      <c r="K104" s="1751"/>
      <c r="L104" s="1751"/>
      <c r="M104" s="1751"/>
      <c r="N104" s="1751"/>
      <c r="O104" s="1751"/>
      <c r="S104" s="1938"/>
    </row>
    <row r="105" spans="1:19" x14ac:dyDescent="0.2">
      <c r="E105" s="1751"/>
      <c r="F105" s="1751"/>
      <c r="G105" s="1751"/>
      <c r="H105" s="1751"/>
      <c r="I105" s="1751"/>
      <c r="J105" s="1751"/>
      <c r="K105" s="1751"/>
      <c r="L105" s="1751"/>
      <c r="M105" s="1751"/>
      <c r="N105" s="1751"/>
      <c r="O105" s="1751"/>
      <c r="S105" s="1938"/>
    </row>
    <row r="106" spans="1:19" x14ac:dyDescent="0.2">
      <c r="E106" s="1751"/>
      <c r="F106" s="1751"/>
      <c r="G106" s="1751"/>
      <c r="H106" s="1751"/>
      <c r="I106" s="1751"/>
      <c r="J106" s="1751"/>
      <c r="K106" s="1751"/>
      <c r="L106" s="1751"/>
      <c r="M106" s="1751"/>
      <c r="N106" s="1751"/>
      <c r="O106" s="1751"/>
      <c r="S106" s="1938"/>
    </row>
    <row r="107" spans="1:19" x14ac:dyDescent="0.2">
      <c r="E107" s="1751"/>
      <c r="F107" s="1751"/>
      <c r="G107" s="1751"/>
      <c r="H107" s="1751"/>
      <c r="I107" s="1751"/>
      <c r="J107" s="1751"/>
      <c r="K107" s="1751"/>
      <c r="L107" s="1751"/>
      <c r="M107" s="1751"/>
      <c r="N107" s="1751"/>
      <c r="O107" s="1751"/>
      <c r="S107" s="1938"/>
    </row>
    <row r="108" spans="1:19" x14ac:dyDescent="0.2">
      <c r="E108" s="1751"/>
      <c r="F108" s="1751"/>
      <c r="G108" s="1751"/>
      <c r="H108" s="1751"/>
      <c r="I108" s="1751"/>
      <c r="J108" s="1751"/>
      <c r="K108" s="1751"/>
      <c r="L108" s="1751"/>
      <c r="M108" s="1751"/>
      <c r="N108" s="1751"/>
      <c r="O108" s="1751"/>
      <c r="S108" s="1938"/>
    </row>
    <row r="109" spans="1:19" x14ac:dyDescent="0.2">
      <c r="E109" s="1751"/>
      <c r="F109" s="1751"/>
      <c r="G109" s="1751"/>
      <c r="H109" s="1751"/>
      <c r="I109" s="1751"/>
      <c r="J109" s="1751"/>
      <c r="K109" s="1751"/>
      <c r="L109" s="1751"/>
      <c r="M109" s="1751"/>
      <c r="N109" s="1751"/>
      <c r="O109" s="1751"/>
      <c r="S109" s="1938"/>
    </row>
    <row r="110" spans="1:19" x14ac:dyDescent="0.2">
      <c r="E110" s="1751"/>
      <c r="F110" s="1751"/>
      <c r="G110" s="1751"/>
      <c r="H110" s="1751"/>
      <c r="I110" s="1751"/>
      <c r="J110" s="1751"/>
      <c r="K110" s="1751"/>
      <c r="L110" s="1751"/>
      <c r="M110" s="1751"/>
      <c r="N110" s="1751"/>
      <c r="O110" s="1751"/>
      <c r="S110" s="1938"/>
    </row>
    <row r="111" spans="1:19" x14ac:dyDescent="0.2">
      <c r="E111" s="1751"/>
      <c r="F111" s="1751"/>
      <c r="G111" s="1751"/>
      <c r="H111" s="1751"/>
      <c r="I111" s="1751"/>
      <c r="J111" s="1751"/>
      <c r="K111" s="1751"/>
      <c r="L111" s="1751"/>
      <c r="M111" s="1751"/>
      <c r="N111" s="1751"/>
      <c r="O111" s="1751"/>
      <c r="S111" s="1938"/>
    </row>
    <row r="112" spans="1:19" x14ac:dyDescent="0.2">
      <c r="E112" s="1751"/>
      <c r="F112" s="1751"/>
      <c r="G112" s="1751"/>
      <c r="H112" s="1751"/>
      <c r="I112" s="1751"/>
      <c r="J112" s="1751"/>
      <c r="K112" s="1751"/>
      <c r="L112" s="1751"/>
      <c r="M112" s="1751"/>
      <c r="N112" s="1751"/>
      <c r="O112" s="1751"/>
      <c r="S112" s="1938"/>
    </row>
    <row r="113" spans="5:19" x14ac:dyDescent="0.2">
      <c r="E113" s="1751"/>
      <c r="F113" s="1751"/>
      <c r="G113" s="1751"/>
      <c r="H113" s="1751"/>
      <c r="I113" s="1751"/>
      <c r="J113" s="1751"/>
      <c r="K113" s="1751"/>
      <c r="L113" s="1751"/>
      <c r="M113" s="1751"/>
      <c r="N113" s="1751"/>
      <c r="O113" s="1751"/>
      <c r="S113" s="1938"/>
    </row>
    <row r="114" spans="5:19" x14ac:dyDescent="0.2">
      <c r="E114" s="1751"/>
      <c r="F114" s="1751"/>
      <c r="G114" s="1751"/>
      <c r="H114" s="1751"/>
      <c r="I114" s="1751"/>
      <c r="J114" s="1751"/>
      <c r="K114" s="1751"/>
      <c r="L114" s="1751"/>
      <c r="M114" s="1751"/>
      <c r="N114" s="1751"/>
      <c r="O114" s="1751"/>
      <c r="S114" s="1938"/>
    </row>
    <row r="115" spans="5:19" x14ac:dyDescent="0.2">
      <c r="E115" s="1751"/>
      <c r="F115" s="1751"/>
      <c r="G115" s="1751"/>
      <c r="H115" s="1751"/>
      <c r="I115" s="1751"/>
      <c r="J115" s="1751"/>
      <c r="K115" s="1751"/>
      <c r="L115" s="1751"/>
      <c r="M115" s="1751"/>
      <c r="N115" s="1751"/>
      <c r="O115" s="1751"/>
      <c r="S115" s="1938"/>
    </row>
    <row r="116" spans="5:19" x14ac:dyDescent="0.2">
      <c r="E116" s="1751"/>
      <c r="F116" s="1751"/>
      <c r="G116" s="1751"/>
      <c r="H116" s="1751"/>
      <c r="I116" s="1751"/>
      <c r="J116" s="1751"/>
      <c r="K116" s="1751"/>
      <c r="L116" s="1751"/>
      <c r="M116" s="1751"/>
      <c r="N116" s="1751"/>
      <c r="O116" s="1751"/>
      <c r="S116" s="1938"/>
    </row>
    <row r="117" spans="5:19" x14ac:dyDescent="0.2">
      <c r="E117" s="1751"/>
      <c r="F117" s="1751"/>
      <c r="G117" s="1751"/>
      <c r="H117" s="1751"/>
      <c r="I117" s="1751"/>
      <c r="J117" s="1751"/>
      <c r="K117" s="1751"/>
      <c r="L117" s="1751"/>
      <c r="M117" s="1751"/>
      <c r="N117" s="1751"/>
      <c r="O117" s="1751"/>
      <c r="S117" s="1938"/>
    </row>
    <row r="118" spans="5:19" x14ac:dyDescent="0.2">
      <c r="E118" s="1751"/>
      <c r="F118" s="1751"/>
      <c r="G118" s="1751"/>
      <c r="H118" s="1751"/>
      <c r="I118" s="1751"/>
      <c r="J118" s="1751"/>
      <c r="K118" s="1751"/>
      <c r="L118" s="1751"/>
      <c r="M118" s="1751"/>
      <c r="N118" s="1751"/>
      <c r="O118" s="1751"/>
      <c r="S118" s="1938"/>
    </row>
    <row r="119" spans="5:19" x14ac:dyDescent="0.2">
      <c r="E119" s="1751"/>
      <c r="F119" s="1751"/>
      <c r="G119" s="1751"/>
      <c r="H119" s="1751"/>
      <c r="I119" s="1751"/>
      <c r="J119" s="1751"/>
      <c r="K119" s="1751"/>
      <c r="L119" s="1751"/>
      <c r="M119" s="1751"/>
      <c r="N119" s="1751"/>
      <c r="O119" s="1751"/>
      <c r="S119" s="1938"/>
    </row>
    <row r="120" spans="5:19" x14ac:dyDescent="0.2">
      <c r="E120" s="1751"/>
      <c r="F120" s="1751"/>
      <c r="G120" s="1751"/>
      <c r="H120" s="1751"/>
      <c r="I120" s="1751"/>
      <c r="J120" s="1751"/>
      <c r="K120" s="1751"/>
      <c r="L120" s="1751"/>
      <c r="M120" s="1751"/>
      <c r="N120" s="1751"/>
      <c r="O120" s="1751"/>
      <c r="S120" s="1938"/>
    </row>
    <row r="121" spans="5:19" x14ac:dyDescent="0.2">
      <c r="E121" s="1751"/>
      <c r="F121" s="1751"/>
      <c r="G121" s="1751"/>
      <c r="H121" s="1751"/>
      <c r="I121" s="1751"/>
      <c r="J121" s="1751"/>
      <c r="K121" s="1751"/>
      <c r="L121" s="1751"/>
      <c r="M121" s="1751"/>
      <c r="N121" s="1751"/>
      <c r="O121" s="1751"/>
      <c r="S121" s="1938"/>
    </row>
    <row r="122" spans="5:19" x14ac:dyDescent="0.2">
      <c r="E122" s="1751"/>
      <c r="F122" s="1751"/>
      <c r="G122" s="1751"/>
      <c r="H122" s="1751"/>
      <c r="I122" s="1751"/>
      <c r="J122" s="1751"/>
      <c r="K122" s="1751"/>
      <c r="L122" s="1751"/>
      <c r="M122" s="1751"/>
      <c r="N122" s="1751"/>
      <c r="O122" s="1751"/>
      <c r="S122" s="1938"/>
    </row>
    <row r="123" spans="5:19" x14ac:dyDescent="0.2">
      <c r="E123" s="1751"/>
      <c r="F123" s="1751"/>
      <c r="G123" s="1751"/>
      <c r="H123" s="1751"/>
      <c r="I123" s="1751"/>
      <c r="J123" s="1751"/>
      <c r="K123" s="1751"/>
      <c r="L123" s="1751"/>
      <c r="M123" s="1751"/>
      <c r="N123" s="1751"/>
      <c r="O123" s="1751"/>
      <c r="S123" s="1938"/>
    </row>
    <row r="124" spans="5:19" x14ac:dyDescent="0.2">
      <c r="E124" s="1751"/>
      <c r="F124" s="1751"/>
      <c r="G124" s="1751"/>
      <c r="H124" s="1751"/>
      <c r="I124" s="1751"/>
      <c r="J124" s="1751"/>
      <c r="K124" s="1751"/>
      <c r="L124" s="1751"/>
      <c r="M124" s="1751"/>
      <c r="N124" s="1751"/>
      <c r="O124" s="1751"/>
      <c r="S124" s="1938"/>
    </row>
    <row r="125" spans="5:19" x14ac:dyDescent="0.2">
      <c r="E125" s="1751"/>
      <c r="F125" s="1751"/>
      <c r="G125" s="1751"/>
      <c r="H125" s="1751"/>
      <c r="I125" s="1751"/>
      <c r="J125" s="1751"/>
      <c r="K125" s="1751"/>
      <c r="L125" s="1751"/>
      <c r="M125" s="1751"/>
      <c r="N125" s="1751"/>
      <c r="O125" s="1751"/>
      <c r="S125" s="1938"/>
    </row>
    <row r="126" spans="5:19" x14ac:dyDescent="0.2">
      <c r="E126" s="1751"/>
      <c r="F126" s="1751"/>
      <c r="G126" s="1751"/>
      <c r="H126" s="1751"/>
      <c r="I126" s="1751"/>
      <c r="J126" s="1751"/>
      <c r="K126" s="1751"/>
      <c r="L126" s="1751"/>
      <c r="M126" s="1751"/>
      <c r="N126" s="1751"/>
      <c r="O126" s="1751"/>
      <c r="S126" s="1938"/>
    </row>
    <row r="127" spans="5:19" x14ac:dyDescent="0.2">
      <c r="E127" s="1751"/>
      <c r="F127" s="1751"/>
      <c r="G127" s="1751"/>
      <c r="H127" s="1751"/>
      <c r="I127" s="1751"/>
      <c r="J127" s="1751"/>
      <c r="K127" s="1751"/>
      <c r="L127" s="1751"/>
      <c r="M127" s="1751"/>
      <c r="N127" s="1751"/>
      <c r="O127" s="1751"/>
      <c r="S127" s="1938"/>
    </row>
    <row r="128" spans="5:19" x14ac:dyDescent="0.2">
      <c r="E128" s="1751"/>
      <c r="F128" s="1751"/>
      <c r="G128" s="1751"/>
      <c r="H128" s="1751"/>
      <c r="I128" s="1751"/>
      <c r="J128" s="1751"/>
      <c r="K128" s="1751"/>
      <c r="L128" s="1751"/>
      <c r="M128" s="1751"/>
      <c r="N128" s="1751"/>
      <c r="O128" s="1751"/>
      <c r="S128" s="1938"/>
    </row>
    <row r="129" spans="5:19" x14ac:dyDescent="0.2">
      <c r="E129" s="1751"/>
      <c r="F129" s="1751"/>
      <c r="G129" s="1751"/>
      <c r="H129" s="1751"/>
      <c r="I129" s="1751"/>
      <c r="J129" s="1751"/>
      <c r="K129" s="1751"/>
      <c r="L129" s="1751"/>
      <c r="M129" s="1751"/>
      <c r="N129" s="1751"/>
      <c r="O129" s="1751"/>
      <c r="S129" s="1938"/>
    </row>
    <row r="130" spans="5:19" x14ac:dyDescent="0.2">
      <c r="E130" s="1751"/>
      <c r="F130" s="1751"/>
      <c r="G130" s="1751"/>
      <c r="H130" s="1751"/>
      <c r="I130" s="1751"/>
      <c r="J130" s="1751"/>
      <c r="K130" s="1751"/>
      <c r="L130" s="1751"/>
      <c r="M130" s="1751"/>
      <c r="N130" s="1751"/>
      <c r="O130" s="1751"/>
      <c r="S130" s="1938"/>
    </row>
    <row r="131" spans="5:19" x14ac:dyDescent="0.2">
      <c r="E131" s="1751"/>
      <c r="F131" s="1751"/>
      <c r="G131" s="1751"/>
      <c r="H131" s="1751"/>
      <c r="I131" s="1751"/>
      <c r="J131" s="1751"/>
      <c r="K131" s="1751"/>
      <c r="L131" s="1751"/>
      <c r="M131" s="1751"/>
      <c r="N131" s="1751"/>
      <c r="O131" s="1751"/>
      <c r="S131" s="1938"/>
    </row>
    <row r="132" spans="5:19" x14ac:dyDescent="0.2">
      <c r="E132" s="1751"/>
      <c r="F132" s="1751"/>
      <c r="G132" s="1751"/>
      <c r="H132" s="1751"/>
      <c r="I132" s="1751"/>
      <c r="J132" s="1751"/>
      <c r="K132" s="1751"/>
      <c r="L132" s="1751"/>
      <c r="M132" s="1751"/>
      <c r="N132" s="1751"/>
      <c r="O132" s="1751"/>
      <c r="S132" s="1938"/>
    </row>
    <row r="133" spans="5:19" x14ac:dyDescent="0.2">
      <c r="E133" s="1751"/>
      <c r="F133" s="1751"/>
      <c r="G133" s="1751"/>
      <c r="H133" s="1751"/>
      <c r="I133" s="1751"/>
      <c r="J133" s="1751"/>
      <c r="K133" s="1751"/>
      <c r="L133" s="1751"/>
      <c r="M133" s="1751"/>
      <c r="N133" s="1751"/>
      <c r="O133" s="1751"/>
      <c r="S133" s="1938"/>
    </row>
    <row r="134" spans="5:19" x14ac:dyDescent="0.2">
      <c r="E134" s="1751"/>
      <c r="F134" s="1751"/>
      <c r="G134" s="1751"/>
      <c r="H134" s="1751"/>
      <c r="I134" s="1751"/>
      <c r="J134" s="1751"/>
      <c r="K134" s="1751"/>
      <c r="L134" s="1751"/>
      <c r="M134" s="1751"/>
      <c r="N134" s="1751"/>
      <c r="O134" s="1751"/>
      <c r="S134" s="1938"/>
    </row>
    <row r="135" spans="5:19" x14ac:dyDescent="0.2">
      <c r="E135" s="1751"/>
      <c r="F135" s="1751"/>
      <c r="G135" s="1751"/>
      <c r="H135" s="1751"/>
      <c r="I135" s="1751"/>
      <c r="J135" s="1751"/>
      <c r="K135" s="1751"/>
      <c r="L135" s="1751"/>
      <c r="M135" s="1751"/>
      <c r="N135" s="1751"/>
      <c r="O135" s="1751"/>
      <c r="S135" s="1938"/>
    </row>
    <row r="136" spans="5:19" x14ac:dyDescent="0.2">
      <c r="E136" s="1751"/>
      <c r="F136" s="1751"/>
      <c r="G136" s="1751"/>
      <c r="H136" s="1751"/>
      <c r="I136" s="1751"/>
      <c r="J136" s="1751"/>
      <c r="K136" s="1751"/>
      <c r="L136" s="1751"/>
      <c r="M136" s="1751"/>
      <c r="N136" s="1751"/>
      <c r="O136" s="1751"/>
      <c r="S136" s="1938"/>
    </row>
    <row r="137" spans="5:19" x14ac:dyDescent="0.2">
      <c r="E137" s="1751"/>
      <c r="F137" s="1751"/>
      <c r="G137" s="1751"/>
      <c r="H137" s="1751"/>
      <c r="I137" s="1751"/>
      <c r="J137" s="1751"/>
      <c r="K137" s="1751"/>
      <c r="L137" s="1751"/>
      <c r="M137" s="1751"/>
      <c r="N137" s="1751"/>
      <c r="O137" s="1751"/>
      <c r="S137" s="1938"/>
    </row>
    <row r="138" spans="5:19" x14ac:dyDescent="0.2">
      <c r="E138" s="1751"/>
      <c r="F138" s="1751"/>
      <c r="G138" s="1751"/>
      <c r="H138" s="1751"/>
      <c r="I138" s="1751"/>
      <c r="J138" s="1751"/>
      <c r="K138" s="1751"/>
      <c r="L138" s="1751"/>
      <c r="M138" s="1751"/>
      <c r="N138" s="1751"/>
      <c r="O138" s="1751"/>
      <c r="S138" s="1938"/>
    </row>
    <row r="139" spans="5:19" x14ac:dyDescent="0.2">
      <c r="E139" s="1751"/>
      <c r="F139" s="1751"/>
      <c r="G139" s="1751"/>
      <c r="H139" s="1751"/>
      <c r="I139" s="1751"/>
      <c r="J139" s="1751"/>
      <c r="K139" s="1751"/>
      <c r="L139" s="1751"/>
      <c r="M139" s="1751"/>
      <c r="N139" s="1751"/>
      <c r="O139" s="1751"/>
      <c r="S139" s="1938"/>
    </row>
    <row r="140" spans="5:19" x14ac:dyDescent="0.2">
      <c r="E140" s="1751"/>
      <c r="F140" s="1751"/>
      <c r="G140" s="1751"/>
      <c r="H140" s="1751"/>
      <c r="I140" s="1751"/>
      <c r="J140" s="1751"/>
      <c r="K140" s="1751"/>
      <c r="L140" s="1751"/>
      <c r="M140" s="1751"/>
      <c r="N140" s="1751"/>
      <c r="O140" s="1751"/>
      <c r="S140" s="1938"/>
    </row>
    <row r="141" spans="5:19" x14ac:dyDescent="0.2">
      <c r="E141" s="1751"/>
      <c r="F141" s="1751"/>
      <c r="G141" s="1751"/>
      <c r="H141" s="1751"/>
      <c r="I141" s="1751"/>
      <c r="J141" s="1751"/>
      <c r="K141" s="1751"/>
      <c r="L141" s="1751"/>
      <c r="M141" s="1751"/>
      <c r="N141" s="1751"/>
      <c r="O141" s="1751"/>
      <c r="S141" s="1938"/>
    </row>
    <row r="142" spans="5:19" x14ac:dyDescent="0.2">
      <c r="E142" s="1751"/>
      <c r="F142" s="1751"/>
      <c r="G142" s="1751"/>
      <c r="H142" s="1751"/>
      <c r="I142" s="1751"/>
      <c r="J142" s="1751"/>
      <c r="K142" s="1751"/>
      <c r="L142" s="1751"/>
      <c r="M142" s="1751"/>
      <c r="N142" s="1751"/>
      <c r="O142" s="1751"/>
      <c r="S142" s="1938"/>
    </row>
    <row r="143" spans="5:19" x14ac:dyDescent="0.2">
      <c r="E143" s="1751"/>
      <c r="F143" s="1751"/>
      <c r="G143" s="1751"/>
      <c r="H143" s="1751"/>
      <c r="I143" s="1751"/>
      <c r="J143" s="1751"/>
      <c r="K143" s="1751"/>
      <c r="L143" s="1751"/>
      <c r="M143" s="1751"/>
      <c r="N143" s="1751"/>
      <c r="O143" s="1751"/>
      <c r="S143" s="1938"/>
    </row>
    <row r="144" spans="5:19" x14ac:dyDescent="0.2">
      <c r="E144" s="1751"/>
      <c r="F144" s="1751"/>
      <c r="G144" s="1751"/>
      <c r="H144" s="1751"/>
      <c r="I144" s="1751"/>
      <c r="J144" s="1751"/>
      <c r="K144" s="1751"/>
      <c r="L144" s="1751"/>
      <c r="M144" s="1751"/>
      <c r="N144" s="1751"/>
      <c r="O144" s="1751"/>
      <c r="S144" s="1938"/>
    </row>
    <row r="145" spans="5:19" x14ac:dyDescent="0.2">
      <c r="E145" s="1751"/>
      <c r="F145" s="1751"/>
      <c r="G145" s="1751"/>
      <c r="H145" s="1751"/>
      <c r="I145" s="1751"/>
      <c r="J145" s="1751"/>
      <c r="K145" s="1751"/>
      <c r="L145" s="1751"/>
      <c r="M145" s="1751"/>
      <c r="N145" s="1751"/>
      <c r="O145" s="1751"/>
      <c r="S145" s="1938"/>
    </row>
    <row r="146" spans="5:19" x14ac:dyDescent="0.2">
      <c r="E146" s="1751"/>
      <c r="F146" s="1751"/>
      <c r="G146" s="1751"/>
      <c r="H146" s="1751"/>
      <c r="I146" s="1751"/>
      <c r="J146" s="1751"/>
      <c r="K146" s="1751"/>
      <c r="L146" s="1751"/>
      <c r="M146" s="1751"/>
      <c r="N146" s="1751"/>
      <c r="O146" s="1751"/>
      <c r="S146" s="1938"/>
    </row>
    <row r="147" spans="5:19" x14ac:dyDescent="0.2">
      <c r="E147" s="1751"/>
      <c r="F147" s="1751"/>
      <c r="G147" s="1751"/>
      <c r="H147" s="1751"/>
      <c r="I147" s="1751"/>
      <c r="J147" s="1751"/>
      <c r="K147" s="1751"/>
      <c r="L147" s="1751"/>
      <c r="M147" s="1751"/>
      <c r="N147" s="1751"/>
      <c r="O147" s="1751"/>
      <c r="S147" s="1938"/>
    </row>
    <row r="148" spans="5:19" x14ac:dyDescent="0.2">
      <c r="E148" s="1751"/>
      <c r="F148" s="1751"/>
      <c r="G148" s="1751"/>
      <c r="H148" s="1751"/>
      <c r="I148" s="1751"/>
      <c r="J148" s="1751"/>
      <c r="K148" s="1751"/>
      <c r="L148" s="1751"/>
      <c r="M148" s="1751"/>
      <c r="N148" s="1751"/>
      <c r="O148" s="1751"/>
      <c r="S148" s="1938"/>
    </row>
    <row r="149" spans="5:19" x14ac:dyDescent="0.2">
      <c r="E149" s="1751"/>
      <c r="F149" s="1751"/>
      <c r="G149" s="1751"/>
      <c r="H149" s="1751"/>
      <c r="I149" s="1751"/>
      <c r="J149" s="1751"/>
      <c r="K149" s="1751"/>
      <c r="L149" s="1751"/>
      <c r="M149" s="1751"/>
      <c r="N149" s="1751"/>
      <c r="O149" s="1751"/>
      <c r="S149" s="1938"/>
    </row>
    <row r="150" spans="5:19" x14ac:dyDescent="0.2">
      <c r="E150" s="1751"/>
      <c r="F150" s="1751"/>
      <c r="G150" s="1751"/>
      <c r="H150" s="1751"/>
      <c r="I150" s="1751"/>
      <c r="J150" s="1751"/>
      <c r="K150" s="1751"/>
      <c r="L150" s="1751"/>
      <c r="M150" s="1751"/>
      <c r="N150" s="1751"/>
      <c r="O150" s="1751"/>
      <c r="S150" s="1938"/>
    </row>
    <row r="151" spans="5:19" x14ac:dyDescent="0.2">
      <c r="E151" s="1751"/>
      <c r="F151" s="1751"/>
      <c r="G151" s="1751"/>
      <c r="H151" s="1751"/>
      <c r="I151" s="1751"/>
      <c r="J151" s="1751"/>
      <c r="K151" s="1751"/>
      <c r="L151" s="1751"/>
      <c r="M151" s="1751"/>
      <c r="N151" s="1751"/>
      <c r="O151" s="1751"/>
      <c r="S151" s="1938"/>
    </row>
    <row r="152" spans="5:19" x14ac:dyDescent="0.2">
      <c r="E152" s="1751"/>
      <c r="F152" s="1751"/>
      <c r="G152" s="1751"/>
      <c r="H152" s="1751"/>
      <c r="I152" s="1751"/>
      <c r="J152" s="1751"/>
      <c r="K152" s="1751"/>
      <c r="L152" s="1751"/>
      <c r="M152" s="1751"/>
      <c r="N152" s="1751"/>
      <c r="O152" s="1751"/>
      <c r="S152" s="1938"/>
    </row>
    <row r="153" spans="5:19" x14ac:dyDescent="0.2">
      <c r="E153" s="1751"/>
      <c r="F153" s="1751"/>
      <c r="G153" s="1751"/>
      <c r="H153" s="1751"/>
      <c r="I153" s="1751"/>
      <c r="J153" s="1751"/>
      <c r="K153" s="1751"/>
      <c r="L153" s="1751"/>
      <c r="M153" s="1751"/>
      <c r="N153" s="1751"/>
      <c r="O153" s="1751"/>
      <c r="S153" s="1938"/>
    </row>
    <row r="154" spans="5:19" x14ac:dyDescent="0.2">
      <c r="E154" s="1751"/>
      <c r="F154" s="1751"/>
      <c r="G154" s="1751"/>
      <c r="H154" s="1751"/>
      <c r="I154" s="1751"/>
      <c r="J154" s="1751"/>
      <c r="K154" s="1751"/>
      <c r="L154" s="1751"/>
      <c r="M154" s="1751"/>
      <c r="N154" s="1751"/>
      <c r="O154" s="1751"/>
      <c r="S154" s="1938"/>
    </row>
    <row r="155" spans="5:19" x14ac:dyDescent="0.2">
      <c r="E155" s="1751"/>
      <c r="F155" s="1751"/>
      <c r="G155" s="1751"/>
      <c r="H155" s="1751"/>
      <c r="I155" s="1751"/>
      <c r="J155" s="1751"/>
      <c r="K155" s="1751"/>
      <c r="L155" s="1751"/>
      <c r="M155" s="1751"/>
      <c r="N155" s="1751"/>
      <c r="O155" s="1751"/>
      <c r="S155" s="1938"/>
    </row>
    <row r="156" spans="5:19" x14ac:dyDescent="0.2">
      <c r="E156" s="1751"/>
      <c r="F156" s="1751"/>
      <c r="G156" s="1751"/>
      <c r="H156" s="1751"/>
      <c r="I156" s="1751"/>
      <c r="J156" s="1751"/>
      <c r="K156" s="1751"/>
      <c r="L156" s="1751"/>
      <c r="M156" s="1751"/>
      <c r="N156" s="1751"/>
      <c r="O156" s="1751"/>
      <c r="S156" s="1938"/>
    </row>
    <row r="157" spans="5:19" x14ac:dyDescent="0.2">
      <c r="E157" s="1751"/>
      <c r="F157" s="1751"/>
      <c r="G157" s="1751"/>
      <c r="H157" s="1751"/>
      <c r="I157" s="1751"/>
      <c r="J157" s="1751"/>
      <c r="K157" s="1751"/>
      <c r="L157" s="1751"/>
      <c r="M157" s="1751"/>
      <c r="N157" s="1751"/>
      <c r="O157" s="1751"/>
      <c r="S157" s="1938"/>
    </row>
    <row r="158" spans="5:19" x14ac:dyDescent="0.2">
      <c r="E158" s="1751"/>
      <c r="F158" s="1751"/>
      <c r="G158" s="1751"/>
      <c r="H158" s="1751"/>
      <c r="I158" s="1751"/>
      <c r="J158" s="1751"/>
      <c r="K158" s="1751"/>
      <c r="L158" s="1751"/>
      <c r="M158" s="1751"/>
      <c r="N158" s="1751"/>
      <c r="O158" s="1751"/>
      <c r="S158" s="1938"/>
    </row>
    <row r="159" spans="5:19" x14ac:dyDescent="0.2">
      <c r="E159" s="1751"/>
      <c r="F159" s="1751"/>
      <c r="G159" s="1751"/>
      <c r="H159" s="1751"/>
      <c r="I159" s="1751"/>
      <c r="J159" s="1751"/>
      <c r="K159" s="1751"/>
      <c r="L159" s="1751"/>
      <c r="M159" s="1751"/>
      <c r="N159" s="1751"/>
      <c r="O159" s="1751"/>
      <c r="S159" s="1938"/>
    </row>
    <row r="160" spans="5:19" x14ac:dyDescent="0.2">
      <c r="E160" s="1751"/>
      <c r="F160" s="1751"/>
      <c r="G160" s="1751"/>
      <c r="H160" s="1751"/>
      <c r="I160" s="1751"/>
      <c r="J160" s="1751"/>
      <c r="K160" s="1751"/>
      <c r="L160" s="1751"/>
      <c r="M160" s="1751"/>
      <c r="N160" s="1751"/>
      <c r="O160" s="1751"/>
      <c r="S160" s="1938"/>
    </row>
    <row r="161" spans="5:19" x14ac:dyDescent="0.2">
      <c r="E161" s="1751"/>
      <c r="F161" s="1751"/>
      <c r="G161" s="1751"/>
      <c r="H161" s="1751"/>
      <c r="I161" s="1751"/>
      <c r="J161" s="1751"/>
      <c r="K161" s="1751"/>
      <c r="L161" s="1751"/>
      <c r="M161" s="1751"/>
      <c r="N161" s="1751"/>
      <c r="O161" s="1751"/>
      <c r="S161" s="1938"/>
    </row>
    <row r="162" spans="5:19" x14ac:dyDescent="0.2">
      <c r="E162" s="1751"/>
      <c r="F162" s="1751"/>
      <c r="G162" s="1751"/>
      <c r="H162" s="1751"/>
      <c r="I162" s="1751"/>
      <c r="J162" s="1751"/>
      <c r="K162" s="1751"/>
      <c r="L162" s="1751"/>
      <c r="M162" s="1751"/>
      <c r="N162" s="1751"/>
      <c r="O162" s="1751"/>
      <c r="S162" s="1938"/>
    </row>
    <row r="163" spans="5:19" x14ac:dyDescent="0.2">
      <c r="E163" s="1751"/>
      <c r="F163" s="1751"/>
      <c r="G163" s="1751"/>
      <c r="H163" s="1751"/>
      <c r="I163" s="1751"/>
      <c r="J163" s="1751"/>
      <c r="K163" s="1751"/>
      <c r="L163" s="1751"/>
      <c r="M163" s="1751"/>
      <c r="N163" s="1751"/>
      <c r="O163" s="1751"/>
      <c r="S163" s="1938"/>
    </row>
    <row r="164" spans="5:19" x14ac:dyDescent="0.2">
      <c r="E164" s="1751"/>
      <c r="F164" s="1751"/>
      <c r="G164" s="1751"/>
      <c r="H164" s="1751"/>
      <c r="I164" s="1751"/>
      <c r="J164" s="1751"/>
      <c r="K164" s="1751"/>
      <c r="L164" s="1751"/>
      <c r="M164" s="1751"/>
      <c r="N164" s="1751"/>
      <c r="O164" s="1751"/>
      <c r="S164" s="1938"/>
    </row>
    <row r="165" spans="5:19" x14ac:dyDescent="0.2">
      <c r="E165" s="1751"/>
      <c r="F165" s="1751"/>
      <c r="G165" s="1751"/>
      <c r="H165" s="1751"/>
      <c r="I165" s="1751"/>
      <c r="J165" s="1751"/>
      <c r="K165" s="1751"/>
      <c r="L165" s="1751"/>
      <c r="M165" s="1751"/>
      <c r="N165" s="1751"/>
      <c r="O165" s="1751"/>
      <c r="S165" s="1938"/>
    </row>
    <row r="166" spans="5:19" x14ac:dyDescent="0.2">
      <c r="E166" s="1751"/>
      <c r="F166" s="1751"/>
      <c r="G166" s="1751"/>
      <c r="H166" s="1751"/>
      <c r="I166" s="1751"/>
      <c r="J166" s="1751"/>
      <c r="K166" s="1751"/>
      <c r="L166" s="1751"/>
      <c r="M166" s="1751"/>
      <c r="N166" s="1751"/>
      <c r="O166" s="1751"/>
      <c r="S166" s="1938"/>
    </row>
    <row r="167" spans="5:19" x14ac:dyDescent="0.2">
      <c r="E167" s="1751"/>
      <c r="F167" s="1751"/>
      <c r="G167" s="1751"/>
      <c r="H167" s="1751"/>
      <c r="I167" s="1751"/>
      <c r="J167" s="1751"/>
      <c r="K167" s="1751"/>
      <c r="L167" s="1751"/>
      <c r="M167" s="1751"/>
      <c r="N167" s="1751"/>
      <c r="O167" s="1751"/>
      <c r="S167" s="1938"/>
    </row>
    <row r="168" spans="5:19" x14ac:dyDescent="0.2">
      <c r="E168" s="1751"/>
      <c r="F168" s="1751"/>
      <c r="G168" s="1751"/>
      <c r="H168" s="1751"/>
      <c r="I168" s="1751"/>
      <c r="J168" s="1751"/>
      <c r="K168" s="1751"/>
      <c r="L168" s="1751"/>
      <c r="M168" s="1751"/>
      <c r="N168" s="1751"/>
      <c r="O168" s="1751"/>
      <c r="S168" s="1938"/>
    </row>
    <row r="169" spans="5:19" x14ac:dyDescent="0.2">
      <c r="E169" s="1751"/>
      <c r="F169" s="1751"/>
      <c r="G169" s="1751"/>
      <c r="H169" s="1751"/>
      <c r="I169" s="1751"/>
      <c r="J169" s="1751"/>
      <c r="K169" s="1751"/>
      <c r="L169" s="1751"/>
      <c r="M169" s="1751"/>
      <c r="N169" s="1751"/>
      <c r="O169" s="1751"/>
      <c r="S169" s="1938"/>
    </row>
    <row r="170" spans="5:19" x14ac:dyDescent="0.2">
      <c r="E170" s="1751"/>
      <c r="F170" s="1751"/>
      <c r="G170" s="1751"/>
      <c r="H170" s="1751"/>
      <c r="I170" s="1751"/>
      <c r="J170" s="1751"/>
      <c r="K170" s="1751"/>
      <c r="L170" s="1751"/>
      <c r="M170" s="1751"/>
      <c r="N170" s="1751"/>
      <c r="O170" s="1751"/>
      <c r="S170" s="1938"/>
    </row>
    <row r="171" spans="5:19" x14ac:dyDescent="0.2">
      <c r="E171" s="1751"/>
      <c r="F171" s="1751"/>
      <c r="G171" s="1751"/>
      <c r="H171" s="1751"/>
      <c r="I171" s="1751"/>
      <c r="J171" s="1751"/>
      <c r="K171" s="1751"/>
      <c r="L171" s="1751"/>
      <c r="M171" s="1751"/>
      <c r="N171" s="1751"/>
      <c r="O171" s="1751"/>
      <c r="S171" s="1938"/>
    </row>
    <row r="172" spans="5:19" x14ac:dyDescent="0.2">
      <c r="E172" s="1751"/>
      <c r="F172" s="1751"/>
      <c r="G172" s="1751"/>
      <c r="H172" s="1751"/>
      <c r="I172" s="1751"/>
      <c r="J172" s="1751"/>
      <c r="K172" s="1751"/>
      <c r="L172" s="1751"/>
      <c r="M172" s="1751"/>
      <c r="N172" s="1751"/>
      <c r="O172" s="1751"/>
      <c r="S172" s="1938"/>
    </row>
    <row r="173" spans="5:19" x14ac:dyDescent="0.2">
      <c r="E173" s="1751"/>
      <c r="F173" s="1751"/>
      <c r="G173" s="1751"/>
      <c r="H173" s="1751"/>
      <c r="I173" s="1751"/>
      <c r="J173" s="1751"/>
      <c r="K173" s="1751"/>
      <c r="L173" s="1751"/>
      <c r="M173" s="1751"/>
      <c r="N173" s="1751"/>
      <c r="O173" s="1751"/>
      <c r="S173" s="1938"/>
    </row>
    <row r="174" spans="5:19" x14ac:dyDescent="0.2">
      <c r="E174" s="1751"/>
      <c r="F174" s="1751"/>
      <c r="G174" s="1751"/>
      <c r="H174" s="1751"/>
      <c r="I174" s="1751"/>
      <c r="J174" s="1751"/>
      <c r="K174" s="1751"/>
      <c r="L174" s="1751"/>
      <c r="M174" s="1751"/>
      <c r="N174" s="1751"/>
      <c r="O174" s="1751"/>
      <c r="S174" s="1938"/>
    </row>
    <row r="175" spans="5:19" x14ac:dyDescent="0.2">
      <c r="E175" s="1751"/>
      <c r="F175" s="1751"/>
      <c r="G175" s="1751"/>
      <c r="H175" s="1751"/>
      <c r="I175" s="1751"/>
      <c r="J175" s="1751"/>
      <c r="K175" s="1751"/>
      <c r="L175" s="1751"/>
      <c r="M175" s="1751"/>
      <c r="N175" s="1751"/>
      <c r="O175" s="1751"/>
      <c r="S175" s="1938"/>
    </row>
    <row r="176" spans="5:19" x14ac:dyDescent="0.2">
      <c r="E176" s="1751"/>
      <c r="F176" s="1751"/>
      <c r="G176" s="1751"/>
      <c r="H176" s="1751"/>
      <c r="I176" s="1751"/>
      <c r="J176" s="1751"/>
      <c r="K176" s="1751"/>
      <c r="L176" s="1751"/>
      <c r="M176" s="1751"/>
      <c r="N176" s="1751"/>
      <c r="O176" s="1751"/>
      <c r="S176" s="1938"/>
    </row>
    <row r="177" spans="5:19" x14ac:dyDescent="0.2">
      <c r="E177" s="1751"/>
      <c r="F177" s="1751"/>
      <c r="G177" s="1751"/>
      <c r="H177" s="1751"/>
      <c r="I177" s="1751"/>
      <c r="J177" s="1751"/>
      <c r="K177" s="1751"/>
      <c r="L177" s="1751"/>
      <c r="M177" s="1751"/>
      <c r="N177" s="1751"/>
      <c r="O177" s="1751"/>
      <c r="S177" s="1938"/>
    </row>
    <row r="178" spans="5:19" x14ac:dyDescent="0.2">
      <c r="E178" s="1751"/>
      <c r="F178" s="1751"/>
      <c r="G178" s="1751"/>
      <c r="H178" s="1751"/>
      <c r="I178" s="1751"/>
      <c r="J178" s="1751"/>
      <c r="K178" s="1751"/>
      <c r="L178" s="1751"/>
      <c r="M178" s="1751"/>
      <c r="N178" s="1751"/>
      <c r="O178" s="1751"/>
      <c r="S178" s="1938"/>
    </row>
    <row r="179" spans="5:19" x14ac:dyDescent="0.2">
      <c r="E179" s="1751"/>
      <c r="F179" s="1751"/>
      <c r="G179" s="1751"/>
      <c r="H179" s="1751"/>
      <c r="I179" s="1751"/>
      <c r="J179" s="1751"/>
      <c r="K179" s="1751"/>
      <c r="L179" s="1751"/>
      <c r="M179" s="1751"/>
      <c r="N179" s="1751"/>
      <c r="O179" s="1751"/>
      <c r="S179" s="1938"/>
    </row>
    <row r="180" spans="5:19" x14ac:dyDescent="0.2">
      <c r="E180" s="1751"/>
      <c r="F180" s="1751"/>
      <c r="G180" s="1751"/>
      <c r="H180" s="1751"/>
      <c r="I180" s="1751"/>
      <c r="J180" s="1751"/>
      <c r="K180" s="1751"/>
      <c r="L180" s="1751"/>
      <c r="M180" s="1751"/>
      <c r="N180" s="1751"/>
      <c r="O180" s="1751"/>
      <c r="S180" s="1938"/>
    </row>
    <row r="181" spans="5:19" x14ac:dyDescent="0.2">
      <c r="E181" s="1751"/>
      <c r="F181" s="1751"/>
      <c r="G181" s="1751"/>
      <c r="H181" s="1751"/>
      <c r="I181" s="1751"/>
      <c r="J181" s="1751"/>
      <c r="K181" s="1751"/>
      <c r="L181" s="1751"/>
      <c r="M181" s="1751"/>
      <c r="N181" s="1751"/>
      <c r="O181" s="1751"/>
      <c r="S181" s="1938"/>
    </row>
    <row r="182" spans="5:19" x14ac:dyDescent="0.2">
      <c r="E182" s="1751"/>
      <c r="F182" s="1751"/>
      <c r="G182" s="1751"/>
      <c r="H182" s="1751"/>
      <c r="I182" s="1751"/>
      <c r="J182" s="1751"/>
      <c r="K182" s="1751"/>
      <c r="L182" s="1751"/>
      <c r="M182" s="1751"/>
      <c r="N182" s="1751"/>
      <c r="O182" s="1751"/>
      <c r="S182" s="1938"/>
    </row>
    <row r="183" spans="5:19" x14ac:dyDescent="0.2">
      <c r="E183" s="1751"/>
      <c r="F183" s="1751"/>
      <c r="G183" s="1751"/>
      <c r="H183" s="1751"/>
      <c r="I183" s="1751"/>
      <c r="J183" s="1751"/>
      <c r="K183" s="1751"/>
      <c r="L183" s="1751"/>
      <c r="M183" s="1751"/>
      <c r="N183" s="1751"/>
      <c r="O183" s="1751"/>
      <c r="S183" s="1938"/>
    </row>
    <row r="184" spans="5:19" x14ac:dyDescent="0.2">
      <c r="E184" s="1751"/>
      <c r="F184" s="1751"/>
      <c r="G184" s="1751"/>
      <c r="H184" s="1751"/>
      <c r="I184" s="1751"/>
      <c r="J184" s="1751"/>
      <c r="K184" s="1751"/>
      <c r="L184" s="1751"/>
      <c r="M184" s="1751"/>
      <c r="N184" s="1751"/>
      <c r="O184" s="1751"/>
      <c r="S184" s="1938"/>
    </row>
    <row r="185" spans="5:19" x14ac:dyDescent="0.2">
      <c r="E185" s="1751"/>
      <c r="F185" s="1751"/>
      <c r="G185" s="1751"/>
      <c r="H185" s="1751"/>
      <c r="I185" s="1751"/>
      <c r="J185" s="1751"/>
      <c r="K185" s="1751"/>
      <c r="L185" s="1751"/>
      <c r="M185" s="1751"/>
      <c r="N185" s="1751"/>
      <c r="O185" s="1751"/>
      <c r="S185" s="1938"/>
    </row>
    <row r="186" spans="5:19" x14ac:dyDescent="0.2">
      <c r="E186" s="1751"/>
      <c r="F186" s="1751"/>
      <c r="G186" s="1751"/>
      <c r="H186" s="1751"/>
      <c r="I186" s="1751"/>
      <c r="J186" s="1751"/>
      <c r="K186" s="1751"/>
      <c r="L186" s="1751"/>
      <c r="M186" s="1751"/>
      <c r="N186" s="1751"/>
      <c r="O186" s="1751"/>
      <c r="S186" s="1938"/>
    </row>
    <row r="187" spans="5:19" x14ac:dyDescent="0.2">
      <c r="E187" s="1751"/>
      <c r="F187" s="1751"/>
      <c r="G187" s="1751"/>
      <c r="H187" s="1751"/>
      <c r="I187" s="1751"/>
      <c r="J187" s="1751"/>
      <c r="K187" s="1751"/>
      <c r="L187" s="1751"/>
      <c r="M187" s="1751"/>
      <c r="N187" s="1751"/>
      <c r="O187" s="1751"/>
      <c r="S187" s="1938"/>
    </row>
    <row r="188" spans="5:19" x14ac:dyDescent="0.2">
      <c r="E188" s="1751"/>
      <c r="F188" s="1751"/>
      <c r="G188" s="1751"/>
      <c r="H188" s="1751"/>
      <c r="I188" s="1751"/>
      <c r="J188" s="1751"/>
      <c r="K188" s="1751"/>
      <c r="L188" s="1751"/>
      <c r="M188" s="1751"/>
      <c r="N188" s="1751"/>
      <c r="O188" s="1751"/>
      <c r="S188" s="1938"/>
    </row>
    <row r="189" spans="5:19" x14ac:dyDescent="0.2">
      <c r="E189" s="1751"/>
      <c r="F189" s="1751"/>
      <c r="G189" s="1751"/>
      <c r="H189" s="1751"/>
      <c r="I189" s="1751"/>
      <c r="J189" s="1751"/>
      <c r="K189" s="1751"/>
      <c r="L189" s="1751"/>
      <c r="M189" s="1751"/>
      <c r="N189" s="1751"/>
      <c r="O189" s="1751"/>
      <c r="S189" s="1938"/>
    </row>
    <row r="190" spans="5:19" x14ac:dyDescent="0.2">
      <c r="E190" s="1751"/>
      <c r="F190" s="1751"/>
      <c r="G190" s="1751"/>
      <c r="H190" s="1751"/>
      <c r="I190" s="1751"/>
      <c r="J190" s="1751"/>
      <c r="K190" s="1751"/>
      <c r="L190" s="1751"/>
      <c r="M190" s="1751"/>
      <c r="N190" s="1751"/>
      <c r="O190" s="1751"/>
      <c r="S190" s="1938"/>
    </row>
    <row r="191" spans="5:19" x14ac:dyDescent="0.2">
      <c r="E191" s="1751"/>
      <c r="F191" s="1751"/>
      <c r="G191" s="1751"/>
      <c r="H191" s="1751"/>
      <c r="I191" s="1751"/>
      <c r="J191" s="1751"/>
      <c r="K191" s="1751"/>
      <c r="L191" s="1751"/>
      <c r="M191" s="1751"/>
      <c r="N191" s="1751"/>
      <c r="O191" s="1751"/>
      <c r="S191" s="1938"/>
    </row>
    <row r="192" spans="5:19" x14ac:dyDescent="0.2">
      <c r="E192" s="1751"/>
      <c r="F192" s="1751"/>
      <c r="G192" s="1751"/>
      <c r="H192" s="1751"/>
      <c r="I192" s="1751"/>
      <c r="J192" s="1751"/>
      <c r="K192" s="1751"/>
      <c r="L192" s="1751"/>
      <c r="M192" s="1751"/>
      <c r="N192" s="1751"/>
      <c r="O192" s="1751"/>
      <c r="S192" s="1938"/>
    </row>
    <row r="193" spans="5:19" x14ac:dyDescent="0.2">
      <c r="E193" s="1751"/>
      <c r="F193" s="1751"/>
      <c r="G193" s="1751"/>
      <c r="H193" s="1751"/>
      <c r="I193" s="1751"/>
      <c r="J193" s="1751"/>
      <c r="K193" s="1751"/>
      <c r="L193" s="1751"/>
      <c r="M193" s="1751"/>
      <c r="N193" s="1751"/>
      <c r="O193" s="1751"/>
      <c r="S193" s="1938"/>
    </row>
    <row r="194" spans="5:19" x14ac:dyDescent="0.2">
      <c r="E194" s="1751"/>
      <c r="F194" s="1751"/>
      <c r="G194" s="1751"/>
      <c r="H194" s="1751"/>
      <c r="I194" s="1751"/>
      <c r="J194" s="1751"/>
      <c r="K194" s="1751"/>
      <c r="L194" s="1751"/>
      <c r="M194" s="1751"/>
      <c r="N194" s="1751"/>
      <c r="O194" s="1751"/>
      <c r="S194" s="1938"/>
    </row>
    <row r="195" spans="5:19" x14ac:dyDescent="0.2">
      <c r="E195" s="1751"/>
      <c r="F195" s="1751"/>
      <c r="G195" s="1751"/>
      <c r="H195" s="1751"/>
      <c r="I195" s="1751"/>
      <c r="J195" s="1751"/>
      <c r="K195" s="1751"/>
      <c r="L195" s="1751"/>
      <c r="M195" s="1751"/>
      <c r="N195" s="1751"/>
      <c r="O195" s="1751"/>
      <c r="S195" s="1938"/>
    </row>
    <row r="196" spans="5:19" x14ac:dyDescent="0.2">
      <c r="E196" s="1751"/>
      <c r="F196" s="1751"/>
      <c r="G196" s="1751"/>
      <c r="H196" s="1751"/>
      <c r="I196" s="1751"/>
      <c r="J196" s="1751"/>
      <c r="K196" s="1751"/>
      <c r="L196" s="1751"/>
      <c r="M196" s="1751"/>
      <c r="N196" s="1751"/>
      <c r="O196" s="1751"/>
      <c r="S196" s="1938"/>
    </row>
    <row r="197" spans="5:19" x14ac:dyDescent="0.2">
      <c r="E197" s="1751"/>
      <c r="F197" s="1751"/>
      <c r="G197" s="1751"/>
      <c r="H197" s="1751"/>
      <c r="I197" s="1751"/>
      <c r="J197" s="1751"/>
      <c r="K197" s="1751"/>
      <c r="L197" s="1751"/>
      <c r="M197" s="1751"/>
      <c r="N197" s="1751"/>
      <c r="O197" s="1751"/>
      <c r="S197" s="1938"/>
    </row>
    <row r="198" spans="5:19" x14ac:dyDescent="0.2">
      <c r="E198" s="1751"/>
      <c r="F198" s="1751"/>
      <c r="G198" s="1751"/>
      <c r="H198" s="1751"/>
      <c r="I198" s="1751"/>
      <c r="J198" s="1751"/>
      <c r="K198" s="1751"/>
      <c r="L198" s="1751"/>
      <c r="M198" s="1751"/>
      <c r="N198" s="1751"/>
      <c r="O198" s="1751"/>
      <c r="S198" s="1938"/>
    </row>
    <row r="199" spans="5:19" x14ac:dyDescent="0.2">
      <c r="E199" s="1751"/>
      <c r="F199" s="1751"/>
      <c r="G199" s="1751"/>
      <c r="H199" s="1751"/>
      <c r="I199" s="1751"/>
      <c r="J199" s="1751"/>
      <c r="K199" s="1751"/>
      <c r="L199" s="1751"/>
      <c r="M199" s="1751"/>
      <c r="N199" s="1751"/>
      <c r="O199" s="1751"/>
      <c r="S199" s="1938"/>
    </row>
    <row r="200" spans="5:19" x14ac:dyDescent="0.2">
      <c r="E200" s="1751"/>
      <c r="F200" s="1751"/>
      <c r="G200" s="1751"/>
      <c r="H200" s="1751"/>
      <c r="I200" s="1751"/>
      <c r="J200" s="1751"/>
      <c r="K200" s="1751"/>
      <c r="L200" s="1751"/>
      <c r="M200" s="1751"/>
      <c r="N200" s="1751"/>
      <c r="O200" s="1751"/>
      <c r="S200" s="1938"/>
    </row>
    <row r="201" spans="5:19" x14ac:dyDescent="0.2">
      <c r="E201" s="1751"/>
      <c r="F201" s="1751"/>
      <c r="G201" s="1751"/>
      <c r="H201" s="1751"/>
      <c r="I201" s="1751"/>
      <c r="J201" s="1751"/>
      <c r="K201" s="1751"/>
      <c r="L201" s="1751"/>
      <c r="M201" s="1751"/>
      <c r="N201" s="1751"/>
      <c r="O201" s="1751"/>
      <c r="S201" s="1938"/>
    </row>
    <row r="202" spans="5:19" x14ac:dyDescent="0.2">
      <c r="E202" s="1751"/>
      <c r="F202" s="1751"/>
      <c r="G202" s="1751"/>
      <c r="H202" s="1751"/>
      <c r="I202" s="1751"/>
      <c r="J202" s="1751"/>
      <c r="K202" s="1751"/>
      <c r="L202" s="1751"/>
      <c r="M202" s="1751"/>
      <c r="N202" s="1751"/>
      <c r="O202" s="1751"/>
      <c r="S202" s="1938"/>
    </row>
    <row r="203" spans="5:19" x14ac:dyDescent="0.2">
      <c r="E203" s="1751"/>
      <c r="F203" s="1751"/>
      <c r="G203" s="1751"/>
      <c r="H203" s="1751"/>
      <c r="I203" s="1751"/>
      <c r="J203" s="1751"/>
      <c r="K203" s="1751"/>
      <c r="L203" s="1751"/>
      <c r="M203" s="1751"/>
      <c r="N203" s="1751"/>
      <c r="O203" s="1751"/>
      <c r="S203" s="1938"/>
    </row>
    <row r="204" spans="5:19" x14ac:dyDescent="0.2">
      <c r="E204" s="1751"/>
      <c r="F204" s="1751"/>
      <c r="G204" s="1751"/>
      <c r="H204" s="1751"/>
      <c r="I204" s="1751"/>
      <c r="J204" s="1751"/>
      <c r="K204" s="1751"/>
      <c r="L204" s="1751"/>
      <c r="M204" s="1751"/>
      <c r="N204" s="1751"/>
      <c r="O204" s="1751"/>
      <c r="S204" s="1938"/>
    </row>
    <row r="205" spans="5:19" x14ac:dyDescent="0.2">
      <c r="E205" s="1751"/>
      <c r="F205" s="1751"/>
      <c r="G205" s="1751"/>
      <c r="H205" s="1751"/>
      <c r="I205" s="1751"/>
      <c r="J205" s="1751"/>
      <c r="K205" s="1751"/>
      <c r="L205" s="1751"/>
      <c r="M205" s="1751"/>
      <c r="N205" s="1751"/>
      <c r="O205" s="1751"/>
      <c r="S205" s="1938"/>
    </row>
    <row r="206" spans="5:19" x14ac:dyDescent="0.2">
      <c r="E206" s="1751"/>
      <c r="F206" s="1751"/>
      <c r="G206" s="1751"/>
      <c r="H206" s="1751"/>
      <c r="I206" s="1751"/>
      <c r="J206" s="1751"/>
      <c r="K206" s="1751"/>
      <c r="L206" s="1751"/>
      <c r="M206" s="1751"/>
      <c r="N206" s="1751"/>
      <c r="O206" s="1751"/>
      <c r="S206" s="1938"/>
    </row>
    <row r="207" spans="5:19" x14ac:dyDescent="0.2">
      <c r="E207" s="1751"/>
      <c r="F207" s="1751"/>
      <c r="G207" s="1751"/>
      <c r="H207" s="1751"/>
      <c r="I207" s="1751"/>
      <c r="J207" s="1751"/>
      <c r="K207" s="1751"/>
      <c r="L207" s="1751"/>
      <c r="M207" s="1751"/>
      <c r="N207" s="1751"/>
      <c r="O207" s="1751"/>
      <c r="S207" s="1938"/>
    </row>
    <row r="208" spans="5:19" x14ac:dyDescent="0.2">
      <c r="E208" s="1751"/>
      <c r="F208" s="1751"/>
      <c r="G208" s="1751"/>
      <c r="H208" s="1751"/>
      <c r="I208" s="1751"/>
      <c r="J208" s="1751"/>
      <c r="K208" s="1751"/>
      <c r="L208" s="1751"/>
      <c r="M208" s="1751"/>
      <c r="N208" s="1751"/>
      <c r="O208" s="1751"/>
      <c r="S208" s="1938"/>
    </row>
    <row r="209" spans="5:19" x14ac:dyDescent="0.2">
      <c r="E209" s="1751"/>
      <c r="F209" s="1751"/>
      <c r="G209" s="1751"/>
      <c r="H209" s="1751"/>
      <c r="I209" s="1751"/>
      <c r="J209" s="1751"/>
      <c r="K209" s="1751"/>
      <c r="L209" s="1751"/>
      <c r="M209" s="1751"/>
      <c r="N209" s="1751"/>
      <c r="O209" s="1751"/>
      <c r="S209" s="1938"/>
    </row>
    <row r="210" spans="5:19" x14ac:dyDescent="0.2">
      <c r="E210" s="1751"/>
      <c r="F210" s="1751"/>
      <c r="G210" s="1751"/>
      <c r="H210" s="1751"/>
      <c r="I210" s="1751"/>
      <c r="J210" s="1751"/>
      <c r="K210" s="1751"/>
      <c r="L210" s="1751"/>
      <c r="M210" s="1751"/>
      <c r="N210" s="1751"/>
      <c r="O210" s="1751"/>
      <c r="S210" s="1938"/>
    </row>
    <row r="211" spans="5:19" x14ac:dyDescent="0.2">
      <c r="E211" s="1751"/>
      <c r="F211" s="1751"/>
      <c r="G211" s="1751"/>
      <c r="H211" s="1751"/>
      <c r="I211" s="1751"/>
      <c r="J211" s="1751"/>
      <c r="K211" s="1751"/>
      <c r="L211" s="1751"/>
      <c r="M211" s="1751"/>
      <c r="N211" s="1751"/>
      <c r="O211" s="1751"/>
      <c r="S211" s="1938"/>
    </row>
    <row r="212" spans="5:19" x14ac:dyDescent="0.2">
      <c r="E212" s="1751"/>
      <c r="F212" s="1751"/>
      <c r="G212" s="1751"/>
      <c r="H212" s="1751"/>
      <c r="I212" s="1751"/>
      <c r="J212" s="1751"/>
      <c r="K212" s="1751"/>
      <c r="L212" s="1751"/>
      <c r="M212" s="1751"/>
      <c r="N212" s="1751"/>
      <c r="O212" s="1751"/>
      <c r="S212" s="1938"/>
    </row>
    <row r="213" spans="5:19" x14ac:dyDescent="0.2">
      <c r="E213" s="1751"/>
      <c r="F213" s="1751"/>
      <c r="G213" s="1751"/>
      <c r="H213" s="1751"/>
      <c r="I213" s="1751"/>
      <c r="J213" s="1751"/>
      <c r="K213" s="1751"/>
      <c r="L213" s="1751"/>
      <c r="M213" s="1751"/>
      <c r="N213" s="1751"/>
      <c r="O213" s="1751"/>
      <c r="S213" s="1938"/>
    </row>
    <row r="214" spans="5:19" x14ac:dyDescent="0.2">
      <c r="E214" s="1751"/>
      <c r="F214" s="1751"/>
      <c r="G214" s="1751"/>
      <c r="H214" s="1751"/>
      <c r="I214" s="1751"/>
      <c r="J214" s="1751"/>
      <c r="K214" s="1751"/>
      <c r="L214" s="1751"/>
      <c r="M214" s="1751"/>
      <c r="N214" s="1751"/>
      <c r="O214" s="1751"/>
      <c r="S214" s="1938"/>
    </row>
    <row r="215" spans="5:19" x14ac:dyDescent="0.2">
      <c r="E215" s="1751"/>
      <c r="F215" s="1751"/>
      <c r="G215" s="1751"/>
      <c r="H215" s="1751"/>
      <c r="I215" s="1751"/>
      <c r="J215" s="1751"/>
      <c r="K215" s="1751"/>
      <c r="L215" s="1751"/>
      <c r="M215" s="1751"/>
      <c r="N215" s="1751"/>
      <c r="O215" s="1751"/>
      <c r="S215" s="1938"/>
    </row>
    <row r="216" spans="5:19" x14ac:dyDescent="0.2">
      <c r="E216" s="1751"/>
      <c r="F216" s="1751"/>
      <c r="G216" s="1751"/>
      <c r="H216" s="1751"/>
      <c r="I216" s="1751"/>
      <c r="J216" s="1751"/>
      <c r="K216" s="1751"/>
      <c r="L216" s="1751"/>
      <c r="M216" s="1751"/>
      <c r="N216" s="1751"/>
      <c r="O216" s="1751"/>
      <c r="S216" s="1938"/>
    </row>
    <row r="217" spans="5:19" x14ac:dyDescent="0.2">
      <c r="E217" s="1751"/>
      <c r="F217" s="1751"/>
      <c r="G217" s="1751"/>
      <c r="H217" s="1751"/>
      <c r="I217" s="1751"/>
      <c r="J217" s="1751"/>
      <c r="K217" s="1751"/>
      <c r="L217" s="1751"/>
      <c r="M217" s="1751"/>
      <c r="N217" s="1751"/>
      <c r="O217" s="1751"/>
      <c r="S217" s="1938"/>
    </row>
    <row r="218" spans="5:19" x14ac:dyDescent="0.2">
      <c r="E218" s="1751"/>
      <c r="F218" s="1751"/>
      <c r="G218" s="1751"/>
      <c r="H218" s="1751"/>
      <c r="I218" s="1751"/>
      <c r="J218" s="1751"/>
      <c r="K218" s="1751"/>
      <c r="L218" s="1751"/>
      <c r="M218" s="1751"/>
      <c r="N218" s="1751"/>
      <c r="O218" s="1751"/>
      <c r="S218" s="1938"/>
    </row>
    <row r="219" spans="5:19" x14ac:dyDescent="0.2">
      <c r="E219" s="1751"/>
      <c r="F219" s="1751"/>
      <c r="G219" s="1751"/>
      <c r="H219" s="1751"/>
      <c r="I219" s="1751"/>
      <c r="J219" s="1751"/>
      <c r="K219" s="1751"/>
      <c r="L219" s="1751"/>
      <c r="M219" s="1751"/>
      <c r="N219" s="1751"/>
      <c r="O219" s="1751"/>
      <c r="S219" s="1938"/>
    </row>
    <row r="220" spans="5:19" x14ac:dyDescent="0.2">
      <c r="E220" s="1751"/>
      <c r="F220" s="1751"/>
      <c r="G220" s="1751"/>
      <c r="H220" s="1751"/>
      <c r="I220" s="1751"/>
      <c r="J220" s="1751"/>
      <c r="K220" s="1751"/>
      <c r="L220" s="1751"/>
      <c r="M220" s="1751"/>
      <c r="N220" s="1751"/>
      <c r="O220" s="1751"/>
      <c r="S220" s="1938"/>
    </row>
    <row r="221" spans="5:19" x14ac:dyDescent="0.2">
      <c r="E221" s="1751"/>
      <c r="F221" s="1751"/>
      <c r="G221" s="1751"/>
      <c r="H221" s="1751"/>
      <c r="I221" s="1751"/>
      <c r="J221" s="1751"/>
      <c r="K221" s="1751"/>
      <c r="L221" s="1751"/>
      <c r="M221" s="1751"/>
      <c r="N221" s="1751"/>
      <c r="O221" s="1751"/>
      <c r="S221" s="1938"/>
    </row>
    <row r="222" spans="5:19" x14ac:dyDescent="0.2">
      <c r="E222" s="1751"/>
      <c r="F222" s="1751"/>
      <c r="G222" s="1751"/>
      <c r="H222" s="1751"/>
      <c r="I222" s="1751"/>
      <c r="J222" s="1751"/>
      <c r="K222" s="1751"/>
      <c r="L222" s="1751"/>
      <c r="M222" s="1751"/>
      <c r="N222" s="1751"/>
      <c r="O222" s="1751"/>
      <c r="S222" s="1938"/>
    </row>
    <row r="223" spans="5:19" x14ac:dyDescent="0.2">
      <c r="E223" s="1751"/>
      <c r="F223" s="1751"/>
      <c r="G223" s="1751"/>
      <c r="H223" s="1751"/>
      <c r="I223" s="1751"/>
      <c r="J223" s="1751"/>
      <c r="K223" s="1751"/>
      <c r="L223" s="1751"/>
      <c r="M223" s="1751"/>
      <c r="N223" s="1751"/>
      <c r="O223" s="1751"/>
      <c r="S223" s="1938"/>
    </row>
    <row r="224" spans="5:19" x14ac:dyDescent="0.2">
      <c r="E224" s="1751"/>
      <c r="F224" s="1751"/>
      <c r="G224" s="1751"/>
      <c r="H224" s="1751"/>
      <c r="I224" s="1751"/>
      <c r="J224" s="1751"/>
      <c r="K224" s="1751"/>
      <c r="L224" s="1751"/>
      <c r="M224" s="1751"/>
      <c r="N224" s="1751"/>
      <c r="O224" s="1751"/>
      <c r="S224" s="1938"/>
    </row>
    <row r="225" spans="5:19" x14ac:dyDescent="0.2">
      <c r="E225" s="1751"/>
      <c r="F225" s="1751"/>
      <c r="G225" s="1751"/>
      <c r="H225" s="1751"/>
      <c r="I225" s="1751"/>
      <c r="J225" s="1751"/>
      <c r="K225" s="1751"/>
      <c r="L225" s="1751"/>
      <c r="M225" s="1751"/>
      <c r="N225" s="1751"/>
      <c r="O225" s="1751"/>
      <c r="S225" s="1938"/>
    </row>
    <row r="226" spans="5:19" x14ac:dyDescent="0.2">
      <c r="E226" s="1751"/>
      <c r="F226" s="1751"/>
      <c r="G226" s="1751"/>
      <c r="H226" s="1751"/>
      <c r="I226" s="1751"/>
      <c r="J226" s="1751"/>
      <c r="K226" s="1751"/>
      <c r="L226" s="1751"/>
      <c r="M226" s="1751"/>
      <c r="N226" s="1751"/>
      <c r="O226" s="1751"/>
      <c r="S226" s="1938"/>
    </row>
    <row r="227" spans="5:19" x14ac:dyDescent="0.2">
      <c r="E227" s="1751"/>
      <c r="F227" s="1751"/>
      <c r="G227" s="1751"/>
      <c r="H227" s="1751"/>
      <c r="I227" s="1751"/>
      <c r="J227" s="1751"/>
      <c r="K227" s="1751"/>
      <c r="L227" s="1751"/>
      <c r="M227" s="1751"/>
      <c r="N227" s="1751"/>
      <c r="O227" s="1751"/>
      <c r="S227" s="1938"/>
    </row>
    <row r="228" spans="5:19" x14ac:dyDescent="0.2">
      <c r="E228" s="1751"/>
      <c r="F228" s="1751"/>
      <c r="G228" s="1751"/>
      <c r="H228" s="1751"/>
      <c r="I228" s="1751"/>
      <c r="J228" s="1751"/>
      <c r="K228" s="1751"/>
      <c r="L228" s="1751"/>
      <c r="M228" s="1751"/>
      <c r="N228" s="1751"/>
      <c r="O228" s="1751"/>
      <c r="S228" s="1938"/>
    </row>
    <row r="229" spans="5:19" x14ac:dyDescent="0.2">
      <c r="E229" s="1751"/>
      <c r="F229" s="1751"/>
      <c r="G229" s="1751"/>
      <c r="H229" s="1751"/>
      <c r="I229" s="1751"/>
      <c r="J229" s="1751"/>
      <c r="K229" s="1751"/>
      <c r="L229" s="1751"/>
      <c r="M229" s="1751"/>
      <c r="N229" s="1751"/>
      <c r="O229" s="1751"/>
      <c r="S229" s="1938"/>
    </row>
    <row r="230" spans="5:19" x14ac:dyDescent="0.2">
      <c r="E230" s="1751"/>
      <c r="F230" s="1751"/>
      <c r="G230" s="1751"/>
      <c r="H230" s="1751"/>
      <c r="I230" s="1751"/>
      <c r="J230" s="1751"/>
      <c r="K230" s="1751"/>
      <c r="L230" s="1751"/>
      <c r="M230" s="1751"/>
      <c r="N230" s="1751"/>
      <c r="O230" s="1751"/>
      <c r="S230" s="1938"/>
    </row>
    <row r="231" spans="5:19" x14ac:dyDescent="0.2">
      <c r="E231" s="1751"/>
      <c r="F231" s="1751"/>
      <c r="G231" s="1751"/>
      <c r="H231" s="1751"/>
      <c r="I231" s="1751"/>
      <c r="J231" s="1751"/>
      <c r="K231" s="1751"/>
      <c r="L231" s="1751"/>
      <c r="M231" s="1751"/>
      <c r="N231" s="1751"/>
      <c r="O231" s="1751"/>
      <c r="S231" s="1938"/>
    </row>
    <row r="232" spans="5:19" x14ac:dyDescent="0.2">
      <c r="E232" s="1751"/>
      <c r="F232" s="1751"/>
      <c r="G232" s="1751"/>
      <c r="H232" s="1751"/>
      <c r="I232" s="1751"/>
      <c r="J232" s="1751"/>
      <c r="K232" s="1751"/>
      <c r="L232" s="1751"/>
      <c r="M232" s="1751"/>
      <c r="N232" s="1751"/>
      <c r="O232" s="1751"/>
      <c r="S232" s="1938"/>
    </row>
    <row r="233" spans="5:19" x14ac:dyDescent="0.2">
      <c r="E233" s="1751"/>
      <c r="F233" s="1751"/>
      <c r="G233" s="1751"/>
      <c r="H233" s="1751"/>
      <c r="I233" s="1751"/>
      <c r="J233" s="1751"/>
      <c r="K233" s="1751"/>
      <c r="L233" s="1751"/>
      <c r="M233" s="1751"/>
      <c r="N233" s="1751"/>
      <c r="O233" s="1751"/>
      <c r="S233" s="1938"/>
    </row>
    <row r="234" spans="5:19" x14ac:dyDescent="0.2">
      <c r="E234" s="1751"/>
      <c r="F234" s="1751"/>
      <c r="G234" s="1751"/>
      <c r="H234" s="1751"/>
      <c r="I234" s="1751"/>
      <c r="J234" s="1751"/>
      <c r="K234" s="1751"/>
      <c r="L234" s="1751"/>
      <c r="M234" s="1751"/>
      <c r="N234" s="1751"/>
      <c r="O234" s="1751"/>
      <c r="S234" s="1938"/>
    </row>
    <row r="235" spans="5:19" x14ac:dyDescent="0.2">
      <c r="E235" s="1751"/>
      <c r="F235" s="1751"/>
      <c r="G235" s="1751"/>
      <c r="H235" s="1751"/>
      <c r="I235" s="1751"/>
      <c r="J235" s="1751"/>
      <c r="K235" s="1751"/>
      <c r="L235" s="1751"/>
      <c r="M235" s="1751"/>
      <c r="N235" s="1751"/>
      <c r="O235" s="1751"/>
      <c r="S235" s="1938"/>
    </row>
    <row r="236" spans="5:19" x14ac:dyDescent="0.2">
      <c r="E236" s="1751"/>
      <c r="F236" s="1751"/>
      <c r="G236" s="1751"/>
      <c r="H236" s="1751"/>
      <c r="I236" s="1751"/>
      <c r="J236" s="1751"/>
      <c r="K236" s="1751"/>
      <c r="L236" s="1751"/>
      <c r="M236" s="1751"/>
      <c r="N236" s="1751"/>
      <c r="O236" s="1751"/>
      <c r="S236" s="1938"/>
    </row>
    <row r="237" spans="5:19" x14ac:dyDescent="0.2">
      <c r="E237" s="1751"/>
      <c r="F237" s="1751"/>
      <c r="G237" s="1751"/>
      <c r="H237" s="1751"/>
      <c r="I237" s="1751"/>
      <c r="J237" s="1751"/>
      <c r="K237" s="1751"/>
      <c r="L237" s="1751"/>
      <c r="M237" s="1751"/>
      <c r="N237" s="1751"/>
      <c r="O237" s="1751"/>
      <c r="S237" s="1938"/>
    </row>
    <row r="238" spans="5:19" x14ac:dyDescent="0.2">
      <c r="E238" s="1751"/>
      <c r="F238" s="1751"/>
      <c r="G238" s="1751"/>
      <c r="H238" s="1751"/>
      <c r="I238" s="1751"/>
      <c r="J238" s="1751"/>
      <c r="K238" s="1751"/>
      <c r="L238" s="1751"/>
      <c r="M238" s="1751"/>
      <c r="N238" s="1751"/>
      <c r="O238" s="1751"/>
      <c r="S238" s="1938"/>
    </row>
    <row r="239" spans="5:19" x14ac:dyDescent="0.2">
      <c r="E239" s="1751"/>
      <c r="F239" s="1751"/>
      <c r="G239" s="1751"/>
      <c r="H239" s="1751"/>
      <c r="I239" s="1751"/>
      <c r="J239" s="1751"/>
      <c r="K239" s="1751"/>
      <c r="L239" s="1751"/>
      <c r="M239" s="1751"/>
      <c r="N239" s="1751"/>
      <c r="O239" s="1751"/>
      <c r="S239" s="1938"/>
    </row>
    <row r="240" spans="5:19" x14ac:dyDescent="0.2">
      <c r="E240" s="1751"/>
      <c r="F240" s="1751"/>
      <c r="G240" s="1751"/>
      <c r="H240" s="1751"/>
      <c r="I240" s="1751"/>
      <c r="J240" s="1751"/>
      <c r="K240" s="1751"/>
      <c r="L240" s="1751"/>
      <c r="M240" s="1751"/>
      <c r="N240" s="1751"/>
      <c r="O240" s="1751"/>
      <c r="S240" s="1938"/>
    </row>
    <row r="241" spans="5:19" x14ac:dyDescent="0.2">
      <c r="E241" s="1751"/>
      <c r="F241" s="1751"/>
      <c r="G241" s="1751"/>
      <c r="H241" s="1751"/>
      <c r="I241" s="1751"/>
      <c r="J241" s="1751"/>
      <c r="K241" s="1751"/>
      <c r="L241" s="1751"/>
      <c r="M241" s="1751"/>
      <c r="N241" s="1751"/>
      <c r="O241" s="1751"/>
      <c r="S241" s="1938"/>
    </row>
    <row r="242" spans="5:19" x14ac:dyDescent="0.2">
      <c r="E242" s="1751"/>
      <c r="F242" s="1751"/>
      <c r="G242" s="1751"/>
      <c r="H242" s="1751"/>
      <c r="I242" s="1751"/>
      <c r="J242" s="1751"/>
      <c r="K242" s="1751"/>
      <c r="L242" s="1751"/>
      <c r="M242" s="1751"/>
      <c r="N242" s="1751"/>
      <c r="O242" s="1751"/>
      <c r="S242" s="1938"/>
    </row>
    <row r="243" spans="5:19" x14ac:dyDescent="0.2">
      <c r="E243" s="1751"/>
      <c r="F243" s="1751"/>
      <c r="G243" s="1751"/>
      <c r="H243" s="1751"/>
      <c r="I243" s="1751"/>
      <c r="J243" s="1751"/>
      <c r="K243" s="1751"/>
      <c r="L243" s="1751"/>
      <c r="M243" s="1751"/>
      <c r="N243" s="1751"/>
      <c r="O243" s="1751"/>
      <c r="S243" s="1938"/>
    </row>
    <row r="244" spans="5:19" x14ac:dyDescent="0.2">
      <c r="E244" s="1751"/>
      <c r="F244" s="1751"/>
      <c r="G244" s="1751"/>
      <c r="H244" s="1751"/>
      <c r="I244" s="1751"/>
      <c r="J244" s="1751"/>
      <c r="K244" s="1751"/>
      <c r="L244" s="1751"/>
      <c r="M244" s="1751"/>
      <c r="N244" s="1751"/>
      <c r="O244" s="1751"/>
      <c r="S244" s="1938"/>
    </row>
    <row r="245" spans="5:19" x14ac:dyDescent="0.2">
      <c r="E245" s="1751"/>
      <c r="F245" s="1751"/>
      <c r="G245" s="1751"/>
      <c r="H245" s="1751"/>
      <c r="I245" s="1751"/>
      <c r="J245" s="1751"/>
      <c r="K245" s="1751"/>
      <c r="L245" s="1751"/>
      <c r="M245" s="1751"/>
      <c r="N245" s="1751"/>
      <c r="O245" s="1751"/>
      <c r="S245" s="1938"/>
    </row>
    <row r="246" spans="5:19" x14ac:dyDescent="0.2">
      <c r="E246" s="1751"/>
      <c r="F246" s="1751"/>
      <c r="G246" s="1751"/>
      <c r="H246" s="1751"/>
      <c r="I246" s="1751"/>
      <c r="J246" s="1751"/>
      <c r="K246" s="1751"/>
      <c r="L246" s="1751"/>
      <c r="M246" s="1751"/>
      <c r="N246" s="1751"/>
      <c r="O246" s="1751"/>
      <c r="S246" s="1938"/>
    </row>
    <row r="247" spans="5:19" x14ac:dyDescent="0.2">
      <c r="E247" s="1751"/>
      <c r="F247" s="1751"/>
      <c r="G247" s="1751"/>
      <c r="H247" s="1751"/>
      <c r="I247" s="1751"/>
      <c r="J247" s="1751"/>
      <c r="K247" s="1751"/>
      <c r="L247" s="1751"/>
      <c r="M247" s="1751"/>
      <c r="N247" s="1751"/>
      <c r="O247" s="1751"/>
      <c r="S247" s="1938"/>
    </row>
    <row r="248" spans="5:19" x14ac:dyDescent="0.2">
      <c r="E248" s="1751"/>
      <c r="F248" s="1751"/>
      <c r="G248" s="1751"/>
      <c r="H248" s="1751"/>
      <c r="I248" s="1751"/>
      <c r="J248" s="1751"/>
      <c r="K248" s="1751"/>
      <c r="L248" s="1751"/>
      <c r="M248" s="1751"/>
      <c r="N248" s="1751"/>
      <c r="O248" s="1751"/>
      <c r="S248" s="1938"/>
    </row>
    <row r="249" spans="5:19" x14ac:dyDescent="0.2">
      <c r="E249" s="1751"/>
      <c r="F249" s="1751"/>
      <c r="G249" s="1751"/>
      <c r="H249" s="1751"/>
      <c r="I249" s="1751"/>
      <c r="J249" s="1751"/>
      <c r="K249" s="1751"/>
      <c r="L249" s="1751"/>
      <c r="M249" s="1751"/>
      <c r="N249" s="1751"/>
      <c r="O249" s="1751"/>
      <c r="S249" s="1938"/>
    </row>
    <row r="250" spans="5:19" x14ac:dyDescent="0.2">
      <c r="E250" s="1751"/>
      <c r="F250" s="1751"/>
      <c r="G250" s="1751"/>
      <c r="H250" s="1751"/>
      <c r="I250" s="1751"/>
      <c r="J250" s="1751"/>
      <c r="K250" s="1751"/>
      <c r="L250" s="1751"/>
      <c r="M250" s="1751"/>
      <c r="N250" s="1751"/>
      <c r="O250" s="1751"/>
      <c r="S250" s="1938"/>
    </row>
    <row r="251" spans="5:19" x14ac:dyDescent="0.2">
      <c r="E251" s="1751"/>
      <c r="F251" s="1751"/>
      <c r="G251" s="1751"/>
      <c r="H251" s="1751"/>
      <c r="I251" s="1751"/>
      <c r="J251" s="1751"/>
      <c r="K251" s="1751"/>
      <c r="L251" s="1751"/>
      <c r="M251" s="1751"/>
      <c r="N251" s="1751"/>
      <c r="O251" s="1751"/>
      <c r="S251" s="1938"/>
    </row>
    <row r="252" spans="5:19" x14ac:dyDescent="0.2">
      <c r="E252" s="1751"/>
      <c r="F252" s="1751"/>
      <c r="G252" s="1751"/>
      <c r="H252" s="1751"/>
      <c r="I252" s="1751"/>
      <c r="J252" s="1751"/>
      <c r="K252" s="1751"/>
      <c r="L252" s="1751"/>
      <c r="M252" s="1751"/>
      <c r="N252" s="1751"/>
      <c r="O252" s="1751"/>
      <c r="S252" s="1938"/>
    </row>
    <row r="253" spans="5:19" x14ac:dyDescent="0.2">
      <c r="E253" s="1751"/>
      <c r="F253" s="1751"/>
      <c r="G253" s="1751"/>
      <c r="H253" s="1751"/>
      <c r="I253" s="1751"/>
      <c r="J253" s="1751"/>
      <c r="K253" s="1751"/>
      <c r="L253" s="1751"/>
      <c r="M253" s="1751"/>
      <c r="N253" s="1751"/>
      <c r="O253" s="1751"/>
      <c r="S253" s="1938"/>
    </row>
    <row r="254" spans="5:19" x14ac:dyDescent="0.2">
      <c r="E254" s="1751"/>
      <c r="F254" s="1751"/>
      <c r="G254" s="1751"/>
      <c r="H254" s="1751"/>
      <c r="I254" s="1751"/>
      <c r="J254" s="1751"/>
      <c r="K254" s="1751"/>
      <c r="L254" s="1751"/>
      <c r="M254" s="1751"/>
      <c r="N254" s="1751"/>
      <c r="O254" s="1751"/>
      <c r="S254" s="1938"/>
    </row>
    <row r="255" spans="5:19" x14ac:dyDescent="0.2">
      <c r="E255" s="1751"/>
      <c r="F255" s="1751"/>
      <c r="G255" s="1751"/>
      <c r="H255" s="1751"/>
      <c r="I255" s="1751"/>
      <c r="J255" s="1751"/>
      <c r="K255" s="1751"/>
      <c r="L255" s="1751"/>
      <c r="M255" s="1751"/>
      <c r="N255" s="1751"/>
      <c r="O255" s="1751"/>
      <c r="S255" s="1938"/>
    </row>
    <row r="256" spans="5:19" x14ac:dyDescent="0.2">
      <c r="E256" s="1751"/>
      <c r="F256" s="1751"/>
      <c r="G256" s="1751"/>
      <c r="H256" s="1751"/>
      <c r="I256" s="1751"/>
      <c r="J256" s="1751"/>
      <c r="K256" s="1751"/>
      <c r="L256" s="1751"/>
      <c r="M256" s="1751"/>
      <c r="N256" s="1751"/>
      <c r="O256" s="1751"/>
      <c r="S256" s="1938"/>
    </row>
    <row r="257" spans="5:19" x14ac:dyDescent="0.2">
      <c r="E257" s="1751"/>
      <c r="F257" s="1751"/>
      <c r="G257" s="1751"/>
      <c r="H257" s="1751"/>
      <c r="I257" s="1751"/>
      <c r="J257" s="1751"/>
      <c r="K257" s="1751"/>
      <c r="L257" s="1751"/>
      <c r="M257" s="1751"/>
      <c r="N257" s="1751"/>
      <c r="O257" s="1751"/>
      <c r="S257" s="1938"/>
    </row>
    <row r="258" spans="5:19" x14ac:dyDescent="0.2">
      <c r="E258" s="1751"/>
      <c r="F258" s="1751"/>
      <c r="G258" s="1751"/>
      <c r="H258" s="1751"/>
      <c r="I258" s="1751"/>
      <c r="J258" s="1751"/>
      <c r="K258" s="1751"/>
      <c r="L258" s="1751"/>
      <c r="M258" s="1751"/>
      <c r="N258" s="1751"/>
      <c r="O258" s="1751"/>
      <c r="S258" s="1938"/>
    </row>
    <row r="259" spans="5:19" x14ac:dyDescent="0.2">
      <c r="E259" s="1751"/>
      <c r="F259" s="1751"/>
      <c r="G259" s="1751"/>
      <c r="H259" s="1751"/>
      <c r="I259" s="1751"/>
      <c r="J259" s="1751"/>
      <c r="K259" s="1751"/>
      <c r="L259" s="1751"/>
      <c r="M259" s="1751"/>
      <c r="N259" s="1751"/>
      <c r="O259" s="1751"/>
      <c r="S259" s="1938"/>
    </row>
    <row r="260" spans="5:19" x14ac:dyDescent="0.2">
      <c r="E260" s="1751"/>
      <c r="F260" s="1751"/>
      <c r="G260" s="1751"/>
      <c r="H260" s="1751"/>
      <c r="I260" s="1751"/>
      <c r="J260" s="1751"/>
      <c r="K260" s="1751"/>
      <c r="L260" s="1751"/>
      <c r="M260" s="1751"/>
      <c r="N260" s="1751"/>
      <c r="O260" s="1751"/>
      <c r="S260" s="1938"/>
    </row>
    <row r="261" spans="5:19" x14ac:dyDescent="0.2">
      <c r="E261" s="1751"/>
      <c r="F261" s="1751"/>
      <c r="G261" s="1751"/>
      <c r="H261" s="1751"/>
      <c r="I261" s="1751"/>
      <c r="J261" s="1751"/>
      <c r="K261" s="1751"/>
      <c r="L261" s="1751"/>
      <c r="M261" s="1751"/>
      <c r="N261" s="1751"/>
      <c r="O261" s="1751"/>
      <c r="S261" s="1938"/>
    </row>
    <row r="262" spans="5:19" x14ac:dyDescent="0.2">
      <c r="E262" s="1751"/>
      <c r="F262" s="1751"/>
      <c r="G262" s="1751"/>
      <c r="H262" s="1751"/>
      <c r="I262" s="1751"/>
      <c r="J262" s="1751"/>
      <c r="K262" s="1751"/>
      <c r="L262" s="1751"/>
      <c r="M262" s="1751"/>
      <c r="N262" s="1751"/>
      <c r="O262" s="1751"/>
      <c r="S262" s="1938"/>
    </row>
    <row r="263" spans="5:19" x14ac:dyDescent="0.2">
      <c r="E263" s="1751"/>
      <c r="F263" s="1751"/>
      <c r="G263" s="1751"/>
      <c r="H263" s="1751"/>
      <c r="I263" s="1751"/>
      <c r="J263" s="1751"/>
      <c r="K263" s="1751"/>
      <c r="L263" s="1751"/>
      <c r="M263" s="1751"/>
      <c r="N263" s="1751"/>
      <c r="O263" s="1751"/>
      <c r="S263" s="1938"/>
    </row>
    <row r="264" spans="5:19" x14ac:dyDescent="0.2">
      <c r="E264" s="1751"/>
      <c r="F264" s="1751"/>
      <c r="G264" s="1751"/>
      <c r="H264" s="1751"/>
      <c r="I264" s="1751"/>
      <c r="J264" s="1751"/>
      <c r="K264" s="1751"/>
      <c r="L264" s="1751"/>
      <c r="M264" s="1751"/>
      <c r="N264" s="1751"/>
      <c r="O264" s="1751"/>
      <c r="S264" s="1938"/>
    </row>
    <row r="265" spans="5:19" x14ac:dyDescent="0.2">
      <c r="E265" s="1751"/>
      <c r="F265" s="1751"/>
      <c r="G265" s="1751"/>
      <c r="H265" s="1751"/>
      <c r="I265" s="1751"/>
      <c r="J265" s="1751"/>
      <c r="K265" s="1751"/>
      <c r="L265" s="1751"/>
      <c r="M265" s="1751"/>
      <c r="N265" s="1751"/>
      <c r="O265" s="1751"/>
      <c r="S265" s="1938"/>
    </row>
    <row r="266" spans="5:19" x14ac:dyDescent="0.2">
      <c r="E266" s="1751"/>
      <c r="F266" s="1751"/>
      <c r="G266" s="1751"/>
      <c r="H266" s="1751"/>
      <c r="I266" s="1751"/>
      <c r="J266" s="1751"/>
      <c r="K266" s="1751"/>
      <c r="L266" s="1751"/>
      <c r="M266" s="1751"/>
      <c r="N266" s="1751"/>
      <c r="O266" s="1751"/>
      <c r="S266" s="1938"/>
    </row>
    <row r="267" spans="5:19" x14ac:dyDescent="0.2">
      <c r="E267" s="1751"/>
      <c r="F267" s="1751"/>
      <c r="G267" s="1751"/>
      <c r="H267" s="1751"/>
      <c r="I267" s="1751"/>
      <c r="J267" s="1751"/>
      <c r="K267" s="1751"/>
      <c r="L267" s="1751"/>
      <c r="M267" s="1751"/>
      <c r="N267" s="1751"/>
      <c r="O267" s="1751"/>
      <c r="S267" s="1938"/>
    </row>
    <row r="268" spans="5:19" x14ac:dyDescent="0.2">
      <c r="E268" s="1751"/>
      <c r="F268" s="1751"/>
      <c r="G268" s="1751"/>
      <c r="H268" s="1751"/>
      <c r="I268" s="1751"/>
      <c r="J268" s="1751"/>
      <c r="K268" s="1751"/>
      <c r="L268" s="1751"/>
      <c r="M268" s="1751"/>
      <c r="N268" s="1751"/>
      <c r="O268" s="1751"/>
      <c r="S268" s="1938"/>
    </row>
    <row r="269" spans="5:19" x14ac:dyDescent="0.2">
      <c r="E269" s="1751"/>
      <c r="F269" s="1751"/>
      <c r="G269" s="1751"/>
      <c r="H269" s="1751"/>
      <c r="I269" s="1751"/>
      <c r="J269" s="1751"/>
      <c r="K269" s="1751"/>
      <c r="L269" s="1751"/>
      <c r="M269" s="1751"/>
      <c r="N269" s="1751"/>
      <c r="O269" s="1751"/>
      <c r="S269" s="1938"/>
    </row>
    <row r="270" spans="5:19" x14ac:dyDescent="0.2">
      <c r="E270" s="1751"/>
      <c r="F270" s="1751"/>
      <c r="G270" s="1751"/>
      <c r="H270" s="1751"/>
      <c r="I270" s="1751"/>
      <c r="J270" s="1751"/>
      <c r="K270" s="1751"/>
      <c r="L270" s="1751"/>
      <c r="M270" s="1751"/>
      <c r="N270" s="1751"/>
      <c r="O270" s="1751"/>
      <c r="S270" s="1938"/>
    </row>
    <row r="271" spans="5:19" x14ac:dyDescent="0.2">
      <c r="E271" s="1751"/>
      <c r="F271" s="1751"/>
      <c r="G271" s="1751"/>
      <c r="H271" s="1751"/>
      <c r="I271" s="1751"/>
      <c r="J271" s="1751"/>
      <c r="K271" s="1751"/>
      <c r="L271" s="1751"/>
      <c r="M271" s="1751"/>
      <c r="N271" s="1751"/>
      <c r="O271" s="1751"/>
      <c r="S271" s="1938"/>
    </row>
    <row r="272" spans="5:19" x14ac:dyDescent="0.2">
      <c r="E272" s="1751"/>
      <c r="F272" s="1751"/>
      <c r="G272" s="1751"/>
      <c r="H272" s="1751"/>
      <c r="I272" s="1751"/>
      <c r="J272" s="1751"/>
      <c r="K272" s="1751"/>
      <c r="L272" s="1751"/>
      <c r="M272" s="1751"/>
      <c r="N272" s="1751"/>
      <c r="O272" s="1751"/>
      <c r="S272" s="1938"/>
    </row>
    <row r="273" spans="5:19" x14ac:dyDescent="0.2">
      <c r="E273" s="1751"/>
      <c r="F273" s="1751"/>
      <c r="G273" s="1751"/>
      <c r="H273" s="1751"/>
      <c r="I273" s="1751"/>
      <c r="J273" s="1751"/>
      <c r="K273" s="1751"/>
      <c r="L273" s="1751"/>
      <c r="M273" s="1751"/>
      <c r="N273" s="1751"/>
      <c r="O273" s="1751"/>
      <c r="S273" s="1938"/>
    </row>
    <row r="274" spans="5:19" x14ac:dyDescent="0.2">
      <c r="E274" s="1751"/>
      <c r="F274" s="1751"/>
      <c r="G274" s="1751"/>
      <c r="H274" s="1751"/>
      <c r="I274" s="1751"/>
      <c r="J274" s="1751"/>
      <c r="K274" s="1751"/>
      <c r="L274" s="1751"/>
      <c r="M274" s="1751"/>
      <c r="N274" s="1751"/>
      <c r="O274" s="1751"/>
      <c r="S274" s="1938"/>
    </row>
    <row r="275" spans="5:19" x14ac:dyDescent="0.2">
      <c r="E275" s="1751"/>
      <c r="F275" s="1751"/>
      <c r="G275" s="1751"/>
      <c r="H275" s="1751"/>
      <c r="I275" s="1751"/>
      <c r="J275" s="1751"/>
      <c r="K275" s="1751"/>
      <c r="L275" s="1751"/>
      <c r="M275" s="1751"/>
      <c r="N275" s="1751"/>
      <c r="O275" s="1751"/>
      <c r="S275" s="1938"/>
    </row>
    <row r="276" spans="5:19" x14ac:dyDescent="0.2">
      <c r="E276" s="1751"/>
      <c r="F276" s="1751"/>
      <c r="G276" s="1751"/>
      <c r="H276" s="1751"/>
      <c r="I276" s="1751"/>
      <c r="J276" s="1751"/>
      <c r="K276" s="1751"/>
      <c r="L276" s="1751"/>
      <c r="M276" s="1751"/>
      <c r="N276" s="1751"/>
      <c r="O276" s="1751"/>
      <c r="S276" s="1938"/>
    </row>
    <row r="277" spans="5:19" x14ac:dyDescent="0.2">
      <c r="E277" s="1751"/>
      <c r="F277" s="1751"/>
      <c r="G277" s="1751"/>
      <c r="H277" s="1751"/>
      <c r="I277" s="1751"/>
      <c r="J277" s="1751"/>
      <c r="K277" s="1751"/>
      <c r="L277" s="1751"/>
      <c r="M277" s="1751"/>
      <c r="N277" s="1751"/>
      <c r="O277" s="1751"/>
      <c r="S277" s="1938"/>
    </row>
    <row r="278" spans="5:19" x14ac:dyDescent="0.2">
      <c r="E278" s="1751"/>
      <c r="F278" s="1751"/>
      <c r="G278" s="1751"/>
      <c r="H278" s="1751"/>
      <c r="I278" s="1751"/>
      <c r="J278" s="1751"/>
      <c r="K278" s="1751"/>
      <c r="L278" s="1751"/>
      <c r="M278" s="1751"/>
      <c r="N278" s="1751"/>
      <c r="O278" s="1751"/>
      <c r="S278" s="1938"/>
    </row>
    <row r="279" spans="5:19" x14ac:dyDescent="0.2">
      <c r="E279" s="1751"/>
      <c r="F279" s="1751"/>
      <c r="G279" s="1751"/>
      <c r="H279" s="1751"/>
      <c r="I279" s="1751"/>
      <c r="J279" s="1751"/>
      <c r="K279" s="1751"/>
      <c r="L279" s="1751"/>
      <c r="M279" s="1751"/>
      <c r="N279" s="1751"/>
      <c r="O279" s="1751"/>
      <c r="S279" s="1938"/>
    </row>
    <row r="280" spans="5:19" x14ac:dyDescent="0.2">
      <c r="E280" s="1751"/>
      <c r="F280" s="1751"/>
      <c r="G280" s="1751"/>
      <c r="H280" s="1751"/>
      <c r="I280" s="1751"/>
      <c r="J280" s="1751"/>
      <c r="K280" s="1751"/>
      <c r="L280" s="1751"/>
      <c r="M280" s="1751"/>
      <c r="N280" s="1751"/>
      <c r="O280" s="1751"/>
      <c r="S280" s="1938"/>
    </row>
    <row r="281" spans="5:19" x14ac:dyDescent="0.2">
      <c r="E281" s="1751"/>
      <c r="F281" s="1751"/>
      <c r="G281" s="1751"/>
      <c r="H281" s="1751"/>
      <c r="I281" s="1751"/>
      <c r="J281" s="1751"/>
      <c r="K281" s="1751"/>
      <c r="L281" s="1751"/>
      <c r="M281" s="1751"/>
      <c r="N281" s="1751"/>
      <c r="O281" s="1751"/>
      <c r="S281" s="1938"/>
    </row>
    <row r="282" spans="5:19" x14ac:dyDescent="0.2">
      <c r="E282" s="1751"/>
      <c r="F282" s="1751"/>
      <c r="G282" s="1751"/>
      <c r="H282" s="1751"/>
      <c r="I282" s="1751"/>
      <c r="J282" s="1751"/>
      <c r="K282" s="1751"/>
      <c r="L282" s="1751"/>
      <c r="M282" s="1751"/>
      <c r="N282" s="1751"/>
      <c r="O282" s="1751"/>
      <c r="S282" s="1938"/>
    </row>
    <row r="283" spans="5:19" x14ac:dyDescent="0.2">
      <c r="E283" s="1751"/>
      <c r="F283" s="1751"/>
      <c r="G283" s="1751"/>
      <c r="H283" s="1751"/>
      <c r="I283" s="1751"/>
      <c r="J283" s="1751"/>
      <c r="K283" s="1751"/>
      <c r="L283" s="1751"/>
      <c r="M283" s="1751"/>
      <c r="N283" s="1751"/>
      <c r="O283" s="1751"/>
      <c r="S283" s="1938"/>
    </row>
    <row r="284" spans="5:19" x14ac:dyDescent="0.2">
      <c r="E284" s="1751"/>
      <c r="F284" s="1751"/>
      <c r="G284" s="1751"/>
      <c r="H284" s="1751"/>
      <c r="I284" s="1751"/>
      <c r="J284" s="1751"/>
      <c r="K284" s="1751"/>
      <c r="L284" s="1751"/>
      <c r="M284" s="1751"/>
      <c r="N284" s="1751"/>
      <c r="O284" s="1751"/>
      <c r="S284" s="1938"/>
    </row>
    <row r="285" spans="5:19" x14ac:dyDescent="0.2">
      <c r="E285" s="1751"/>
      <c r="F285" s="1751"/>
      <c r="G285" s="1751"/>
      <c r="H285" s="1751"/>
      <c r="I285" s="1751"/>
      <c r="J285" s="1751"/>
      <c r="K285" s="1751"/>
      <c r="L285" s="1751"/>
      <c r="M285" s="1751"/>
      <c r="N285" s="1751"/>
      <c r="O285" s="1751"/>
      <c r="S285" s="1938"/>
    </row>
    <row r="286" spans="5:19" x14ac:dyDescent="0.2">
      <c r="E286" s="1751"/>
      <c r="F286" s="1751"/>
      <c r="G286" s="1751"/>
      <c r="H286" s="1751"/>
      <c r="I286" s="1751"/>
      <c r="J286" s="1751"/>
      <c r="K286" s="1751"/>
      <c r="L286" s="1751"/>
      <c r="M286" s="1751"/>
      <c r="N286" s="1751"/>
      <c r="O286" s="1751"/>
      <c r="S286" s="1938"/>
    </row>
    <row r="287" spans="5:19" x14ac:dyDescent="0.2">
      <c r="E287" s="1751"/>
      <c r="F287" s="1751"/>
      <c r="G287" s="1751"/>
      <c r="H287" s="1751"/>
      <c r="I287" s="1751"/>
      <c r="J287" s="1751"/>
      <c r="K287" s="1751"/>
      <c r="L287" s="1751"/>
      <c r="M287" s="1751"/>
      <c r="N287" s="1751"/>
      <c r="O287" s="1751"/>
      <c r="S287" s="1938"/>
    </row>
    <row r="288" spans="5:19" x14ac:dyDescent="0.2">
      <c r="E288" s="1751"/>
      <c r="F288" s="1751"/>
      <c r="G288" s="1751"/>
      <c r="H288" s="1751"/>
      <c r="I288" s="1751"/>
      <c r="J288" s="1751"/>
      <c r="K288" s="1751"/>
      <c r="L288" s="1751"/>
      <c r="M288" s="1751"/>
      <c r="N288" s="1751"/>
      <c r="O288" s="1751"/>
      <c r="S288" s="1938"/>
    </row>
    <row r="289" spans="5:19" x14ac:dyDescent="0.2">
      <c r="E289" s="1751"/>
      <c r="F289" s="1751"/>
      <c r="G289" s="1751"/>
      <c r="H289" s="1751"/>
      <c r="I289" s="1751"/>
      <c r="J289" s="1751"/>
      <c r="K289" s="1751"/>
      <c r="L289" s="1751"/>
      <c r="M289" s="1751"/>
      <c r="N289" s="1751"/>
      <c r="O289" s="1751"/>
      <c r="S289" s="1938"/>
    </row>
    <row r="290" spans="5:19" x14ac:dyDescent="0.2">
      <c r="E290" s="1751"/>
      <c r="F290" s="1751"/>
      <c r="G290" s="1751"/>
      <c r="H290" s="1751"/>
      <c r="I290" s="1751"/>
      <c r="J290" s="1751"/>
      <c r="K290" s="1751"/>
      <c r="L290" s="1751"/>
      <c r="M290" s="1751"/>
      <c r="N290" s="1751"/>
      <c r="O290" s="1751"/>
      <c r="S290" s="1938"/>
    </row>
    <row r="291" spans="5:19" x14ac:dyDescent="0.2">
      <c r="E291" s="1751"/>
      <c r="F291" s="1751"/>
      <c r="G291" s="1751"/>
      <c r="H291" s="1751"/>
      <c r="I291" s="1751"/>
      <c r="J291" s="1751"/>
      <c r="K291" s="1751"/>
      <c r="L291" s="1751"/>
      <c r="M291" s="1751"/>
      <c r="N291" s="1751"/>
      <c r="O291" s="1751"/>
      <c r="S291" s="1938"/>
    </row>
    <row r="292" spans="5:19" x14ac:dyDescent="0.2">
      <c r="E292" s="1751"/>
      <c r="F292" s="1751"/>
      <c r="G292" s="1751"/>
      <c r="H292" s="1751"/>
      <c r="I292" s="1751"/>
      <c r="J292" s="1751"/>
      <c r="K292" s="1751"/>
      <c r="L292" s="1751"/>
      <c r="M292" s="1751"/>
      <c r="N292" s="1751"/>
      <c r="O292" s="1751"/>
      <c r="S292" s="1938"/>
    </row>
    <row r="293" spans="5:19" x14ac:dyDescent="0.2">
      <c r="E293" s="1751"/>
      <c r="F293" s="1751"/>
      <c r="G293" s="1751"/>
      <c r="H293" s="1751"/>
      <c r="I293" s="1751"/>
      <c r="J293" s="1751"/>
      <c r="K293" s="1751"/>
      <c r="L293" s="1751"/>
      <c r="M293" s="1751"/>
      <c r="N293" s="1751"/>
      <c r="O293" s="1751"/>
      <c r="S293" s="1938"/>
    </row>
    <row r="294" spans="5:19" x14ac:dyDescent="0.2">
      <c r="E294" s="1751"/>
      <c r="F294" s="1751"/>
      <c r="G294" s="1751"/>
      <c r="H294" s="1751"/>
      <c r="I294" s="1751"/>
      <c r="J294" s="1751"/>
      <c r="K294" s="1751"/>
      <c r="L294" s="1751"/>
      <c r="M294" s="1751"/>
      <c r="N294" s="1751"/>
      <c r="O294" s="1751"/>
      <c r="S294" s="1938"/>
    </row>
    <row r="295" spans="5:19" x14ac:dyDescent="0.2">
      <c r="E295" s="1751"/>
      <c r="F295" s="1751"/>
      <c r="G295" s="1751"/>
      <c r="H295" s="1751"/>
      <c r="I295" s="1751"/>
      <c r="J295" s="1751"/>
      <c r="K295" s="1751"/>
      <c r="L295" s="1751"/>
      <c r="M295" s="1751"/>
      <c r="N295" s="1751"/>
      <c r="O295" s="1751"/>
      <c r="S295" s="1938"/>
    </row>
    <row r="296" spans="5:19" x14ac:dyDescent="0.2">
      <c r="E296" s="1751"/>
      <c r="F296" s="1751"/>
      <c r="G296" s="1751"/>
      <c r="H296" s="1751"/>
      <c r="I296" s="1751"/>
      <c r="J296" s="1751"/>
      <c r="K296" s="1751"/>
      <c r="L296" s="1751"/>
      <c r="M296" s="1751"/>
      <c r="N296" s="1751"/>
      <c r="O296" s="1751"/>
      <c r="S296" s="1938"/>
    </row>
    <row r="297" spans="5:19" x14ac:dyDescent="0.2">
      <c r="E297" s="1751"/>
      <c r="F297" s="1751"/>
      <c r="G297" s="1751"/>
      <c r="H297" s="1751"/>
      <c r="I297" s="1751"/>
      <c r="J297" s="1751"/>
      <c r="K297" s="1751"/>
      <c r="L297" s="1751"/>
      <c r="M297" s="1751"/>
      <c r="N297" s="1751"/>
      <c r="O297" s="1751"/>
      <c r="S297" s="1938"/>
    </row>
    <row r="298" spans="5:19" x14ac:dyDescent="0.2">
      <c r="E298" s="1751"/>
      <c r="F298" s="1751"/>
      <c r="G298" s="1751"/>
      <c r="H298" s="1751"/>
      <c r="I298" s="1751"/>
      <c r="J298" s="1751"/>
      <c r="K298" s="1751"/>
      <c r="L298" s="1751"/>
      <c r="M298" s="1751"/>
      <c r="N298" s="1751"/>
      <c r="O298" s="1751"/>
      <c r="S298" s="1938"/>
    </row>
    <row r="299" spans="5:19" x14ac:dyDescent="0.2">
      <c r="E299" s="1751"/>
      <c r="F299" s="1751"/>
      <c r="G299" s="1751"/>
      <c r="H299" s="1751"/>
      <c r="I299" s="1751"/>
      <c r="J299" s="1751"/>
      <c r="K299" s="1751"/>
      <c r="L299" s="1751"/>
      <c r="M299" s="1751"/>
      <c r="N299" s="1751"/>
      <c r="O299" s="1751"/>
      <c r="S299" s="1938"/>
    </row>
    <row r="300" spans="5:19" x14ac:dyDescent="0.2">
      <c r="E300" s="1751"/>
      <c r="F300" s="1751"/>
      <c r="G300" s="1751"/>
      <c r="H300" s="1751"/>
      <c r="I300" s="1751"/>
      <c r="J300" s="1751"/>
      <c r="K300" s="1751"/>
      <c r="L300" s="1751"/>
      <c r="M300" s="1751"/>
      <c r="N300" s="1751"/>
      <c r="O300" s="1751"/>
      <c r="S300" s="1938"/>
    </row>
    <row r="301" spans="5:19" x14ac:dyDescent="0.2">
      <c r="E301" s="1751"/>
      <c r="F301" s="1751"/>
      <c r="G301" s="1751"/>
      <c r="H301" s="1751"/>
      <c r="I301" s="1751"/>
      <c r="J301" s="1751"/>
      <c r="K301" s="1751"/>
      <c r="L301" s="1751"/>
      <c r="M301" s="1751"/>
      <c r="N301" s="1751"/>
      <c r="O301" s="1751"/>
      <c r="S301" s="1938"/>
    </row>
    <row r="302" spans="5:19" x14ac:dyDescent="0.2">
      <c r="E302" s="1751"/>
      <c r="F302" s="1751"/>
      <c r="G302" s="1751"/>
      <c r="H302" s="1751"/>
      <c r="I302" s="1751"/>
      <c r="J302" s="1751"/>
      <c r="K302" s="1751"/>
      <c r="L302" s="1751"/>
      <c r="M302" s="1751"/>
      <c r="N302" s="1751"/>
      <c r="O302" s="1751"/>
      <c r="S302" s="1938"/>
    </row>
    <row r="303" spans="5:19" x14ac:dyDescent="0.2">
      <c r="E303" s="1751"/>
      <c r="F303" s="1751"/>
      <c r="G303" s="1751"/>
      <c r="H303" s="1751"/>
      <c r="I303" s="1751"/>
      <c r="J303" s="1751"/>
      <c r="K303" s="1751"/>
      <c r="L303" s="1751"/>
      <c r="M303" s="1751"/>
      <c r="N303" s="1751"/>
      <c r="O303" s="1751"/>
      <c r="S303" s="1938"/>
    </row>
    <row r="304" spans="5:19" x14ac:dyDescent="0.2">
      <c r="E304" s="1751"/>
      <c r="F304" s="1751"/>
      <c r="G304" s="1751"/>
      <c r="H304" s="1751"/>
      <c r="I304" s="1751"/>
      <c r="J304" s="1751"/>
      <c r="K304" s="1751"/>
      <c r="L304" s="1751"/>
      <c r="M304" s="1751"/>
      <c r="N304" s="1751"/>
      <c r="O304" s="1751"/>
      <c r="S304" s="1938"/>
    </row>
    <row r="305" spans="5:19" x14ac:dyDescent="0.2">
      <c r="E305" s="1751"/>
      <c r="F305" s="1751"/>
      <c r="G305" s="1751"/>
      <c r="H305" s="1751"/>
      <c r="I305" s="1751"/>
      <c r="J305" s="1751"/>
      <c r="K305" s="1751"/>
      <c r="L305" s="1751"/>
      <c r="M305" s="1751"/>
      <c r="N305" s="1751"/>
      <c r="O305" s="1751"/>
      <c r="S305" s="1938"/>
    </row>
    <row r="306" spans="5:19" x14ac:dyDescent="0.2">
      <c r="E306" s="1751"/>
      <c r="F306" s="1751"/>
      <c r="G306" s="1751"/>
      <c r="H306" s="1751"/>
      <c r="I306" s="1751"/>
      <c r="J306" s="1751"/>
      <c r="K306" s="1751"/>
      <c r="L306" s="1751"/>
      <c r="M306" s="1751"/>
      <c r="N306" s="1751"/>
      <c r="O306" s="1751"/>
      <c r="S306" s="1938"/>
    </row>
    <row r="307" spans="5:19" x14ac:dyDescent="0.2">
      <c r="E307" s="1751"/>
      <c r="F307" s="1751"/>
      <c r="G307" s="1751"/>
      <c r="H307" s="1751"/>
      <c r="I307" s="1751"/>
      <c r="J307" s="1751"/>
      <c r="K307" s="1751"/>
      <c r="L307" s="1751"/>
      <c r="M307" s="1751"/>
      <c r="N307" s="1751"/>
      <c r="O307" s="1751"/>
      <c r="S307" s="1938"/>
    </row>
    <row r="308" spans="5:19" x14ac:dyDescent="0.2">
      <c r="E308" s="1751"/>
      <c r="F308" s="1751"/>
      <c r="G308" s="1751"/>
      <c r="H308" s="1751"/>
      <c r="I308" s="1751"/>
      <c r="J308" s="1751"/>
      <c r="K308" s="1751"/>
      <c r="L308" s="1751"/>
      <c r="M308" s="1751"/>
      <c r="N308" s="1751"/>
      <c r="O308" s="1751"/>
      <c r="S308" s="1938"/>
    </row>
    <row r="309" spans="5:19" x14ac:dyDescent="0.2">
      <c r="E309" s="1751"/>
      <c r="F309" s="1751"/>
      <c r="G309" s="1751"/>
      <c r="H309" s="1751"/>
      <c r="I309" s="1751"/>
      <c r="J309" s="1751"/>
      <c r="K309" s="1751"/>
      <c r="L309" s="1751"/>
      <c r="M309" s="1751"/>
      <c r="N309" s="1751"/>
      <c r="O309" s="1751"/>
      <c r="S309" s="1938"/>
    </row>
    <row r="310" spans="5:19" x14ac:dyDescent="0.2">
      <c r="E310" s="1751"/>
      <c r="F310" s="1751"/>
      <c r="G310" s="1751"/>
      <c r="H310" s="1751"/>
      <c r="I310" s="1751"/>
      <c r="J310" s="1751"/>
      <c r="K310" s="1751"/>
      <c r="L310" s="1751"/>
      <c r="M310" s="1751"/>
      <c r="N310" s="1751"/>
      <c r="O310" s="1751"/>
      <c r="S310" s="1938"/>
    </row>
    <row r="311" spans="5:19" x14ac:dyDescent="0.2">
      <c r="E311" s="1751"/>
      <c r="F311" s="1751"/>
      <c r="G311" s="1751"/>
      <c r="H311" s="1751"/>
      <c r="I311" s="1751"/>
      <c r="J311" s="1751"/>
      <c r="K311" s="1751"/>
      <c r="L311" s="1751"/>
      <c r="M311" s="1751"/>
      <c r="N311" s="1751"/>
      <c r="O311" s="1751"/>
      <c r="S311" s="1938"/>
    </row>
    <row r="312" spans="5:19" x14ac:dyDescent="0.2">
      <c r="E312" s="1751"/>
      <c r="F312" s="1751"/>
      <c r="G312" s="1751"/>
      <c r="H312" s="1751"/>
      <c r="I312" s="1751"/>
      <c r="J312" s="1751"/>
      <c r="K312" s="1751"/>
      <c r="L312" s="1751"/>
      <c r="M312" s="1751"/>
      <c r="N312" s="1751"/>
      <c r="O312" s="1751"/>
      <c r="S312" s="1938"/>
    </row>
    <row r="313" spans="5:19" x14ac:dyDescent="0.2">
      <c r="E313" s="1751"/>
      <c r="F313" s="1751"/>
      <c r="G313" s="1751"/>
      <c r="H313" s="1751"/>
      <c r="I313" s="1751"/>
      <c r="J313" s="1751"/>
      <c r="K313" s="1751"/>
      <c r="L313" s="1751"/>
      <c r="M313" s="1751"/>
      <c r="N313" s="1751"/>
      <c r="O313" s="1751"/>
      <c r="S313" s="1938"/>
    </row>
    <row r="314" spans="5:19" x14ac:dyDescent="0.2">
      <c r="E314" s="1751"/>
      <c r="F314" s="1751"/>
      <c r="G314" s="1751"/>
      <c r="H314" s="1751"/>
      <c r="I314" s="1751"/>
      <c r="J314" s="1751"/>
      <c r="K314" s="1751"/>
      <c r="L314" s="1751"/>
      <c r="M314" s="1751"/>
      <c r="N314" s="1751"/>
      <c r="O314" s="1751"/>
      <c r="S314" s="1938"/>
    </row>
    <row r="315" spans="5:19" x14ac:dyDescent="0.2">
      <c r="E315" s="1751"/>
      <c r="F315" s="1751"/>
      <c r="G315" s="1751"/>
      <c r="H315" s="1751"/>
      <c r="I315" s="1751"/>
      <c r="J315" s="1751"/>
      <c r="K315" s="1751"/>
      <c r="L315" s="1751"/>
      <c r="M315" s="1751"/>
      <c r="N315" s="1751"/>
      <c r="O315" s="1751"/>
      <c r="S315" s="1938"/>
    </row>
    <row r="316" spans="5:19" x14ac:dyDescent="0.2">
      <c r="E316" s="1751"/>
      <c r="F316" s="1751"/>
      <c r="G316" s="1751"/>
      <c r="H316" s="1751"/>
      <c r="I316" s="1751"/>
      <c r="J316" s="1751"/>
      <c r="K316" s="1751"/>
      <c r="L316" s="1751"/>
      <c r="M316" s="1751"/>
      <c r="N316" s="1751"/>
      <c r="O316" s="1751"/>
      <c r="S316" s="1938"/>
    </row>
    <row r="317" spans="5:19" x14ac:dyDescent="0.2">
      <c r="E317" s="1751"/>
      <c r="F317" s="1751"/>
      <c r="G317" s="1751"/>
      <c r="H317" s="1751"/>
      <c r="I317" s="1751"/>
      <c r="J317" s="1751"/>
      <c r="K317" s="1751"/>
      <c r="L317" s="1751"/>
      <c r="M317" s="1751"/>
      <c r="N317" s="1751"/>
      <c r="O317" s="1751"/>
      <c r="S317" s="1938"/>
    </row>
    <row r="318" spans="5:19" x14ac:dyDescent="0.2">
      <c r="E318" s="1751"/>
      <c r="F318" s="1751"/>
      <c r="G318" s="1751"/>
      <c r="H318" s="1751"/>
      <c r="I318" s="1751"/>
      <c r="J318" s="1751"/>
      <c r="K318" s="1751"/>
      <c r="L318" s="1751"/>
      <c r="M318" s="1751"/>
      <c r="N318" s="1751"/>
      <c r="O318" s="1751"/>
      <c r="S318" s="1938"/>
    </row>
    <row r="319" spans="5:19" x14ac:dyDescent="0.2">
      <c r="E319" s="1751"/>
      <c r="F319" s="1751"/>
      <c r="G319" s="1751"/>
      <c r="H319" s="1751"/>
      <c r="I319" s="1751"/>
      <c r="J319" s="1751"/>
      <c r="K319" s="1751"/>
      <c r="L319" s="1751"/>
      <c r="M319" s="1751"/>
      <c r="N319" s="1751"/>
      <c r="O319" s="1751"/>
      <c r="S319" s="1938"/>
    </row>
    <row r="320" spans="5:19" x14ac:dyDescent="0.2">
      <c r="E320" s="1751"/>
      <c r="F320" s="1751"/>
      <c r="G320" s="1751"/>
      <c r="H320" s="1751"/>
      <c r="I320" s="1751"/>
      <c r="J320" s="1751"/>
      <c r="K320" s="1751"/>
      <c r="L320" s="1751"/>
      <c r="M320" s="1751"/>
      <c r="N320" s="1751"/>
      <c r="O320" s="1751"/>
      <c r="S320" s="1938"/>
    </row>
    <row r="321" spans="5:19" x14ac:dyDescent="0.2">
      <c r="E321" s="1751"/>
      <c r="F321" s="1751"/>
      <c r="G321" s="1751"/>
      <c r="H321" s="1751"/>
      <c r="I321" s="1751"/>
      <c r="J321" s="1751"/>
      <c r="K321" s="1751"/>
      <c r="L321" s="1751"/>
      <c r="M321" s="1751"/>
      <c r="N321" s="1751"/>
      <c r="O321" s="1751"/>
      <c r="S321" s="1938"/>
    </row>
    <row r="322" spans="5:19" x14ac:dyDescent="0.2">
      <c r="E322" s="1751"/>
      <c r="F322" s="1751"/>
      <c r="G322" s="1751"/>
      <c r="H322" s="1751"/>
      <c r="I322" s="1751"/>
      <c r="J322" s="1751"/>
      <c r="K322" s="1751"/>
      <c r="L322" s="1751"/>
      <c r="M322" s="1751"/>
      <c r="N322" s="1751"/>
      <c r="O322" s="1751"/>
      <c r="S322" s="1938"/>
    </row>
    <row r="323" spans="5:19" x14ac:dyDescent="0.2">
      <c r="E323" s="1751"/>
      <c r="F323" s="1751"/>
      <c r="G323" s="1751"/>
      <c r="H323" s="1751"/>
      <c r="I323" s="1751"/>
      <c r="J323" s="1751"/>
      <c r="K323" s="1751"/>
      <c r="L323" s="1751"/>
      <c r="M323" s="1751"/>
      <c r="N323" s="1751"/>
      <c r="O323" s="1751"/>
      <c r="S323" s="1938"/>
    </row>
    <row r="324" spans="5:19" x14ac:dyDescent="0.2">
      <c r="E324" s="1751"/>
      <c r="F324" s="1751"/>
      <c r="G324" s="1751"/>
      <c r="H324" s="1751"/>
      <c r="I324" s="1751"/>
      <c r="J324" s="1751"/>
      <c r="K324" s="1751"/>
      <c r="L324" s="1751"/>
      <c r="M324" s="1751"/>
      <c r="N324" s="1751"/>
      <c r="O324" s="1751"/>
      <c r="S324" s="1938"/>
    </row>
    <row r="325" spans="5:19" x14ac:dyDescent="0.2">
      <c r="E325" s="1751"/>
      <c r="F325" s="1751"/>
      <c r="G325" s="1751"/>
      <c r="H325" s="1751"/>
      <c r="I325" s="1751"/>
      <c r="J325" s="1751"/>
      <c r="K325" s="1751"/>
      <c r="L325" s="1751"/>
      <c r="M325" s="1751"/>
      <c r="N325" s="1751"/>
      <c r="O325" s="1751"/>
      <c r="S325" s="1938"/>
    </row>
    <row r="326" spans="5:19" x14ac:dyDescent="0.2">
      <c r="E326" s="1751"/>
      <c r="F326" s="1751"/>
      <c r="G326" s="1751"/>
      <c r="H326" s="1751"/>
      <c r="I326" s="1751"/>
      <c r="J326" s="1751"/>
      <c r="K326" s="1751"/>
      <c r="L326" s="1751"/>
      <c r="M326" s="1751"/>
      <c r="N326" s="1751"/>
      <c r="O326" s="1751"/>
      <c r="S326" s="1938"/>
    </row>
    <row r="327" spans="5:19" x14ac:dyDescent="0.2">
      <c r="E327" s="1751"/>
      <c r="F327" s="1751"/>
      <c r="G327" s="1751"/>
      <c r="H327" s="1751"/>
      <c r="I327" s="1751"/>
      <c r="J327" s="1751"/>
      <c r="K327" s="1751"/>
      <c r="L327" s="1751"/>
      <c r="M327" s="1751"/>
      <c r="N327" s="1751"/>
      <c r="O327" s="1751"/>
      <c r="S327" s="1938"/>
    </row>
    <row r="328" spans="5:19" x14ac:dyDescent="0.2">
      <c r="E328" s="1751"/>
      <c r="F328" s="1751"/>
      <c r="G328" s="1751"/>
      <c r="H328" s="1751"/>
      <c r="I328" s="1751"/>
      <c r="J328" s="1751"/>
      <c r="K328" s="1751"/>
      <c r="L328" s="1751"/>
      <c r="M328" s="1751"/>
      <c r="N328" s="1751"/>
      <c r="O328" s="1751"/>
      <c r="S328" s="1938"/>
    </row>
    <row r="329" spans="5:19" x14ac:dyDescent="0.2">
      <c r="E329" s="1751"/>
      <c r="F329" s="1751"/>
      <c r="G329" s="1751"/>
      <c r="H329" s="1751"/>
      <c r="I329" s="1751"/>
      <c r="J329" s="1751"/>
      <c r="K329" s="1751"/>
      <c r="L329" s="1751"/>
      <c r="M329" s="1751"/>
      <c r="N329" s="1751"/>
      <c r="O329" s="1751"/>
      <c r="S329" s="1938"/>
    </row>
    <row r="330" spans="5:19" x14ac:dyDescent="0.2">
      <c r="E330" s="1751"/>
      <c r="F330" s="1751"/>
      <c r="G330" s="1751"/>
      <c r="H330" s="1751"/>
      <c r="I330" s="1751"/>
      <c r="J330" s="1751"/>
      <c r="K330" s="1751"/>
      <c r="L330" s="1751"/>
      <c r="M330" s="1751"/>
      <c r="N330" s="1751"/>
      <c r="O330" s="1751"/>
      <c r="S330" s="1938"/>
    </row>
    <row r="331" spans="5:19" x14ac:dyDescent="0.2">
      <c r="E331" s="1751"/>
      <c r="F331" s="1751"/>
      <c r="G331" s="1751"/>
      <c r="H331" s="1751"/>
      <c r="I331" s="1751"/>
      <c r="J331" s="1751"/>
      <c r="K331" s="1751"/>
      <c r="L331" s="1751"/>
      <c r="M331" s="1751"/>
      <c r="N331" s="1751"/>
      <c r="O331" s="1751"/>
      <c r="S331" s="1938"/>
    </row>
    <row r="332" spans="5:19" x14ac:dyDescent="0.2">
      <c r="E332" s="1751"/>
      <c r="F332" s="1751"/>
      <c r="G332" s="1751"/>
      <c r="H332" s="1751"/>
      <c r="I332" s="1751"/>
      <c r="J332" s="1751"/>
      <c r="K332" s="1751"/>
      <c r="L332" s="1751"/>
      <c r="M332" s="1751"/>
      <c r="N332" s="1751"/>
      <c r="O332" s="1751"/>
      <c r="S332" s="1938"/>
    </row>
    <row r="333" spans="5:19" x14ac:dyDescent="0.2">
      <c r="E333" s="1751"/>
      <c r="F333" s="1751"/>
      <c r="G333" s="1751"/>
      <c r="H333" s="1751"/>
      <c r="I333" s="1751"/>
      <c r="J333" s="1751"/>
      <c r="K333" s="1751"/>
      <c r="L333" s="1751"/>
      <c r="M333" s="1751"/>
      <c r="N333" s="1751"/>
      <c r="O333" s="1751"/>
      <c r="S333" s="1938"/>
    </row>
    <row r="334" spans="5:19" x14ac:dyDescent="0.2">
      <c r="E334" s="1751"/>
      <c r="F334" s="1751"/>
      <c r="G334" s="1751"/>
      <c r="H334" s="1751"/>
      <c r="I334" s="1751"/>
      <c r="J334" s="1751"/>
      <c r="K334" s="1751"/>
      <c r="L334" s="1751"/>
      <c r="M334" s="1751"/>
      <c r="N334" s="1751"/>
      <c r="O334" s="1751"/>
      <c r="S334" s="1938"/>
    </row>
    <row r="335" spans="5:19" x14ac:dyDescent="0.2">
      <c r="E335" s="1751"/>
      <c r="F335" s="1751"/>
      <c r="G335" s="1751"/>
      <c r="H335" s="1751"/>
      <c r="I335" s="1751"/>
      <c r="J335" s="1751"/>
      <c r="K335" s="1751"/>
      <c r="L335" s="1751"/>
      <c r="M335" s="1751"/>
      <c r="N335" s="1751"/>
      <c r="O335" s="1751"/>
      <c r="S335" s="1938"/>
    </row>
    <row r="336" spans="5:19" x14ac:dyDescent="0.2">
      <c r="E336" s="1751"/>
      <c r="F336" s="1751"/>
      <c r="G336" s="1751"/>
      <c r="H336" s="1751"/>
      <c r="I336" s="1751"/>
      <c r="J336" s="1751"/>
      <c r="K336" s="1751"/>
      <c r="L336" s="1751"/>
      <c r="M336" s="1751"/>
      <c r="N336" s="1751"/>
      <c r="O336" s="1751"/>
      <c r="S336" s="1938"/>
    </row>
    <row r="337" spans="5:19" x14ac:dyDescent="0.2">
      <c r="E337" s="1751"/>
      <c r="F337" s="1751"/>
      <c r="G337" s="1751"/>
      <c r="H337" s="1751"/>
      <c r="I337" s="1751"/>
      <c r="J337" s="1751"/>
      <c r="K337" s="1751"/>
      <c r="L337" s="1751"/>
      <c r="M337" s="1751"/>
      <c r="N337" s="1751"/>
      <c r="O337" s="1751"/>
      <c r="S337" s="1938"/>
    </row>
    <row r="338" spans="5:19" x14ac:dyDescent="0.2">
      <c r="E338" s="1751"/>
      <c r="F338" s="1751"/>
      <c r="G338" s="1751"/>
      <c r="H338" s="1751"/>
      <c r="I338" s="1751"/>
      <c r="J338" s="1751"/>
      <c r="K338" s="1751"/>
      <c r="L338" s="1751"/>
      <c r="M338" s="1751"/>
      <c r="N338" s="1751"/>
      <c r="O338" s="1751"/>
      <c r="S338" s="1938"/>
    </row>
    <row r="339" spans="5:19" x14ac:dyDescent="0.2">
      <c r="E339" s="1751"/>
      <c r="F339" s="1751"/>
      <c r="G339" s="1751"/>
      <c r="H339" s="1751"/>
      <c r="I339" s="1751"/>
      <c r="J339" s="1751"/>
      <c r="K339" s="1751"/>
      <c r="L339" s="1751"/>
      <c r="M339" s="1751"/>
      <c r="N339" s="1751"/>
      <c r="O339" s="1751"/>
      <c r="S339" s="1938"/>
    </row>
    <row r="340" spans="5:19" x14ac:dyDescent="0.2">
      <c r="E340" s="1751"/>
      <c r="F340" s="1751"/>
      <c r="G340" s="1751"/>
      <c r="H340" s="1751"/>
      <c r="I340" s="1751"/>
      <c r="J340" s="1751"/>
      <c r="K340" s="1751"/>
      <c r="L340" s="1751"/>
      <c r="M340" s="1751"/>
      <c r="N340" s="1751"/>
      <c r="O340" s="1751"/>
      <c r="S340" s="1938"/>
    </row>
    <row r="341" spans="5:19" x14ac:dyDescent="0.2">
      <c r="E341" s="1751"/>
      <c r="F341" s="1751"/>
      <c r="G341" s="1751"/>
      <c r="H341" s="1751"/>
      <c r="I341" s="1751"/>
      <c r="J341" s="1751"/>
      <c r="K341" s="1751"/>
      <c r="L341" s="1751"/>
      <c r="M341" s="1751"/>
      <c r="N341" s="1751"/>
      <c r="O341" s="1751"/>
      <c r="S341" s="1938"/>
    </row>
    <row r="342" spans="5:19" x14ac:dyDescent="0.2">
      <c r="E342" s="1751"/>
      <c r="F342" s="1751"/>
      <c r="G342" s="1751"/>
      <c r="H342" s="1751"/>
      <c r="I342" s="1751"/>
      <c r="J342" s="1751"/>
      <c r="K342" s="1751"/>
      <c r="L342" s="1751"/>
      <c r="M342" s="1751"/>
      <c r="N342" s="1751"/>
      <c r="O342" s="1751"/>
      <c r="S342" s="1938"/>
    </row>
    <row r="343" spans="5:19" x14ac:dyDescent="0.2">
      <c r="E343" s="1751"/>
      <c r="F343" s="1751"/>
      <c r="G343" s="1751"/>
      <c r="H343" s="1751"/>
      <c r="I343" s="1751"/>
      <c r="J343" s="1751"/>
      <c r="K343" s="1751"/>
      <c r="L343" s="1751"/>
      <c r="M343" s="1751"/>
      <c r="N343" s="1751"/>
      <c r="O343" s="1751"/>
      <c r="S343" s="1938"/>
    </row>
    <row r="344" spans="5:19" x14ac:dyDescent="0.2">
      <c r="E344" s="1751"/>
      <c r="F344" s="1751"/>
      <c r="G344" s="1751"/>
      <c r="H344" s="1751"/>
      <c r="I344" s="1751"/>
      <c r="J344" s="1751"/>
      <c r="K344" s="1751"/>
      <c r="L344" s="1751"/>
      <c r="M344" s="1751"/>
      <c r="N344" s="1751"/>
      <c r="O344" s="1751"/>
      <c r="S344" s="1938"/>
    </row>
    <row r="345" spans="5:19" x14ac:dyDescent="0.2">
      <c r="E345" s="1751"/>
      <c r="F345" s="1751"/>
      <c r="G345" s="1751"/>
      <c r="H345" s="1751"/>
      <c r="I345" s="1751"/>
      <c r="J345" s="1751"/>
      <c r="K345" s="1751"/>
      <c r="L345" s="1751"/>
      <c r="M345" s="1751"/>
      <c r="N345" s="1751"/>
      <c r="O345" s="1751"/>
      <c r="S345" s="1938"/>
    </row>
    <row r="346" spans="5:19" x14ac:dyDescent="0.2">
      <c r="E346" s="1751"/>
      <c r="F346" s="1751"/>
      <c r="G346" s="1751"/>
      <c r="H346" s="1751"/>
      <c r="I346" s="1751"/>
      <c r="J346" s="1751"/>
      <c r="K346" s="1751"/>
      <c r="L346" s="1751"/>
      <c r="M346" s="1751"/>
      <c r="N346" s="1751"/>
      <c r="O346" s="1751"/>
      <c r="S346" s="1938"/>
    </row>
    <row r="347" spans="5:19" x14ac:dyDescent="0.2">
      <c r="E347" s="1751"/>
      <c r="F347" s="1751"/>
      <c r="G347" s="1751"/>
      <c r="H347" s="1751"/>
      <c r="I347" s="1751"/>
      <c r="J347" s="1751"/>
      <c r="K347" s="1751"/>
      <c r="L347" s="1751"/>
      <c r="M347" s="1751"/>
      <c r="N347" s="1751"/>
      <c r="O347" s="1751"/>
      <c r="S347" s="1938"/>
    </row>
    <row r="348" spans="5:19" x14ac:dyDescent="0.2">
      <c r="E348" s="1751"/>
      <c r="F348" s="1751"/>
      <c r="G348" s="1751"/>
      <c r="H348" s="1751"/>
      <c r="I348" s="1751"/>
      <c r="J348" s="1751"/>
      <c r="K348" s="1751"/>
      <c r="L348" s="1751"/>
      <c r="M348" s="1751"/>
      <c r="N348" s="1751"/>
      <c r="O348" s="1751"/>
      <c r="S348" s="1938"/>
    </row>
    <row r="349" spans="5:19" x14ac:dyDescent="0.2">
      <c r="E349" s="1751"/>
      <c r="F349" s="1751"/>
      <c r="G349" s="1751"/>
      <c r="H349" s="1751"/>
      <c r="I349" s="1751"/>
      <c r="J349" s="1751"/>
      <c r="K349" s="1751"/>
      <c r="L349" s="1751"/>
      <c r="M349" s="1751"/>
      <c r="N349" s="1751"/>
      <c r="O349" s="1751"/>
      <c r="S349" s="1938"/>
    </row>
    <row r="350" spans="5:19" x14ac:dyDescent="0.2">
      <c r="E350" s="1751"/>
      <c r="F350" s="1751"/>
      <c r="G350" s="1751"/>
      <c r="H350" s="1751"/>
      <c r="I350" s="1751"/>
      <c r="J350" s="1751"/>
      <c r="K350" s="1751"/>
      <c r="L350" s="1751"/>
      <c r="M350" s="1751"/>
      <c r="N350" s="1751"/>
      <c r="O350" s="1751"/>
      <c r="S350" s="1938"/>
    </row>
    <row r="351" spans="5:19" x14ac:dyDescent="0.2">
      <c r="E351" s="1751"/>
      <c r="F351" s="1751"/>
      <c r="G351" s="1751"/>
      <c r="H351" s="1751"/>
      <c r="I351" s="1751"/>
      <c r="J351" s="1751"/>
      <c r="K351" s="1751"/>
      <c r="L351" s="1751"/>
      <c r="M351" s="1751"/>
      <c r="N351" s="1751"/>
      <c r="O351" s="1751"/>
      <c r="S351" s="1938"/>
    </row>
    <row r="352" spans="5:19" x14ac:dyDescent="0.2">
      <c r="E352" s="1751"/>
      <c r="F352" s="1751"/>
      <c r="G352" s="1751"/>
      <c r="H352" s="1751"/>
      <c r="I352" s="1751"/>
      <c r="J352" s="1751"/>
      <c r="K352" s="1751"/>
      <c r="L352" s="1751"/>
      <c r="M352" s="1751"/>
      <c r="N352" s="1751"/>
      <c r="O352" s="1751"/>
      <c r="S352" s="1938"/>
    </row>
    <row r="353" spans="5:19" x14ac:dyDescent="0.2">
      <c r="E353" s="1751"/>
      <c r="F353" s="1751"/>
      <c r="G353" s="1751"/>
      <c r="H353" s="1751"/>
      <c r="I353" s="1751"/>
      <c r="J353" s="1751"/>
      <c r="K353" s="1751"/>
      <c r="L353" s="1751"/>
      <c r="M353" s="1751"/>
      <c r="N353" s="1751"/>
      <c r="O353" s="1751"/>
      <c r="S353" s="1938"/>
    </row>
    <row r="354" spans="5:19" x14ac:dyDescent="0.2">
      <c r="E354" s="1751"/>
      <c r="F354" s="1751"/>
      <c r="G354" s="1751"/>
      <c r="H354" s="1751"/>
      <c r="I354" s="1751"/>
      <c r="J354" s="1751"/>
      <c r="K354" s="1751"/>
      <c r="L354" s="1751"/>
      <c r="M354" s="1751"/>
      <c r="N354" s="1751"/>
      <c r="O354" s="1751"/>
      <c r="S354" s="1938"/>
    </row>
    <row r="355" spans="5:19" x14ac:dyDescent="0.2">
      <c r="E355" s="1751"/>
      <c r="F355" s="1751"/>
      <c r="G355" s="1751"/>
      <c r="H355" s="1751"/>
      <c r="I355" s="1751"/>
      <c r="J355" s="1751"/>
      <c r="K355" s="1751"/>
      <c r="L355" s="1751"/>
      <c r="M355" s="1751"/>
      <c r="N355" s="1751"/>
      <c r="O355" s="1751"/>
      <c r="S355" s="1938"/>
    </row>
    <row r="356" spans="5:19" x14ac:dyDescent="0.2">
      <c r="E356" s="1751"/>
      <c r="F356" s="1751"/>
      <c r="G356" s="1751"/>
      <c r="H356" s="1751"/>
      <c r="I356" s="1751"/>
      <c r="J356" s="1751"/>
      <c r="K356" s="1751"/>
      <c r="L356" s="1751"/>
      <c r="M356" s="1751"/>
      <c r="N356" s="1751"/>
      <c r="O356" s="1751"/>
      <c r="S356" s="1938"/>
    </row>
    <row r="357" spans="5:19" x14ac:dyDescent="0.2">
      <c r="E357" s="1751"/>
      <c r="F357" s="1751"/>
      <c r="G357" s="1751"/>
      <c r="H357" s="1751"/>
      <c r="I357" s="1751"/>
      <c r="J357" s="1751"/>
      <c r="K357" s="1751"/>
      <c r="L357" s="1751"/>
      <c r="M357" s="1751"/>
      <c r="N357" s="1751"/>
      <c r="O357" s="1751"/>
      <c r="S357" s="1938"/>
    </row>
    <row r="358" spans="5:19" x14ac:dyDescent="0.2">
      <c r="E358" s="1751"/>
      <c r="F358" s="1751"/>
      <c r="G358" s="1751"/>
      <c r="H358" s="1751"/>
      <c r="I358" s="1751"/>
      <c r="J358" s="1751"/>
      <c r="K358" s="1751"/>
      <c r="L358" s="1751"/>
      <c r="M358" s="1751"/>
      <c r="N358" s="1751"/>
      <c r="O358" s="1751"/>
      <c r="S358" s="1938"/>
    </row>
    <row r="359" spans="5:19" x14ac:dyDescent="0.2">
      <c r="E359" s="1751"/>
      <c r="F359" s="1751"/>
      <c r="G359" s="1751"/>
      <c r="H359" s="1751"/>
      <c r="I359" s="1751"/>
      <c r="J359" s="1751"/>
      <c r="K359" s="1751"/>
      <c r="L359" s="1751"/>
      <c r="M359" s="1751"/>
      <c r="N359" s="1751"/>
      <c r="O359" s="1751"/>
      <c r="S359" s="1938"/>
    </row>
    <row r="360" spans="5:19" x14ac:dyDescent="0.2">
      <c r="E360" s="1751"/>
      <c r="F360" s="1751"/>
      <c r="G360" s="1751"/>
      <c r="H360" s="1751"/>
      <c r="I360" s="1751"/>
      <c r="J360" s="1751"/>
      <c r="K360" s="1751"/>
      <c r="L360" s="1751"/>
      <c r="M360" s="1751"/>
      <c r="N360" s="1751"/>
      <c r="O360" s="1751"/>
      <c r="S360" s="1938"/>
    </row>
    <row r="361" spans="5:19" x14ac:dyDescent="0.2">
      <c r="E361" s="1751"/>
      <c r="F361" s="1751"/>
      <c r="G361" s="1751"/>
      <c r="H361" s="1751"/>
      <c r="I361" s="1751"/>
      <c r="J361" s="1751"/>
      <c r="K361" s="1751"/>
      <c r="L361" s="1751"/>
      <c r="M361" s="1751"/>
      <c r="N361" s="1751"/>
      <c r="O361" s="1751"/>
      <c r="S361" s="1938"/>
    </row>
    <row r="362" spans="5:19" x14ac:dyDescent="0.2">
      <c r="E362" s="1751"/>
      <c r="F362" s="1751"/>
      <c r="G362" s="1751"/>
      <c r="H362" s="1751"/>
      <c r="I362" s="1751"/>
      <c r="J362" s="1751"/>
      <c r="K362" s="1751"/>
      <c r="L362" s="1751"/>
      <c r="M362" s="1751"/>
      <c r="N362" s="1751"/>
      <c r="O362" s="1751"/>
      <c r="S362" s="1938"/>
    </row>
    <row r="363" spans="5:19" x14ac:dyDescent="0.2">
      <c r="E363" s="1751"/>
      <c r="F363" s="1751"/>
      <c r="G363" s="1751"/>
      <c r="H363" s="1751"/>
      <c r="I363" s="1751"/>
      <c r="J363" s="1751"/>
      <c r="K363" s="1751"/>
      <c r="L363" s="1751"/>
      <c r="M363" s="1751"/>
      <c r="N363" s="1751"/>
      <c r="O363" s="1751"/>
      <c r="S363" s="1938"/>
    </row>
    <row r="364" spans="5:19" x14ac:dyDescent="0.2">
      <c r="E364" s="1751"/>
      <c r="F364" s="1751"/>
      <c r="G364" s="1751"/>
      <c r="H364" s="1751"/>
      <c r="I364" s="1751"/>
      <c r="J364" s="1751"/>
      <c r="K364" s="1751"/>
      <c r="L364" s="1751"/>
      <c r="M364" s="1751"/>
      <c r="N364" s="1751"/>
      <c r="O364" s="1751"/>
      <c r="S364" s="1938"/>
    </row>
    <row r="365" spans="5:19" x14ac:dyDescent="0.2">
      <c r="E365" s="1751"/>
      <c r="F365" s="1751"/>
      <c r="G365" s="1751"/>
      <c r="H365" s="1751"/>
      <c r="I365" s="1751"/>
      <c r="J365" s="1751"/>
      <c r="K365" s="1751"/>
      <c r="L365" s="1751"/>
      <c r="M365" s="1751"/>
      <c r="N365" s="1751"/>
      <c r="O365" s="1751"/>
      <c r="S365" s="1938"/>
    </row>
    <row r="366" spans="5:19" x14ac:dyDescent="0.2">
      <c r="E366" s="1751"/>
      <c r="F366" s="1751"/>
      <c r="G366" s="1751"/>
      <c r="H366" s="1751"/>
      <c r="I366" s="1751"/>
      <c r="J366" s="1751"/>
      <c r="K366" s="1751"/>
      <c r="L366" s="1751"/>
      <c r="M366" s="1751"/>
      <c r="N366" s="1751"/>
      <c r="O366" s="1751"/>
      <c r="S366" s="1938"/>
    </row>
    <row r="367" spans="5:19" x14ac:dyDescent="0.2">
      <c r="E367" s="1751"/>
      <c r="F367" s="1751"/>
      <c r="G367" s="1751"/>
      <c r="H367" s="1751"/>
      <c r="I367" s="1751"/>
      <c r="J367" s="1751"/>
      <c r="K367" s="1751"/>
      <c r="L367" s="1751"/>
      <c r="M367" s="1751"/>
      <c r="N367" s="1751"/>
      <c r="O367" s="1751"/>
      <c r="S367" s="1938"/>
    </row>
    <row r="368" spans="5:19" x14ac:dyDescent="0.2">
      <c r="E368" s="1751"/>
      <c r="F368" s="1751"/>
      <c r="G368" s="1751"/>
      <c r="H368" s="1751"/>
      <c r="I368" s="1751"/>
      <c r="J368" s="1751"/>
      <c r="K368" s="1751"/>
      <c r="L368" s="1751"/>
      <c r="M368" s="1751"/>
      <c r="N368" s="1751"/>
      <c r="O368" s="1751"/>
      <c r="S368" s="1938"/>
    </row>
    <row r="369" spans="5:19" x14ac:dyDescent="0.2">
      <c r="E369" s="1751"/>
      <c r="F369" s="1751"/>
      <c r="G369" s="1751"/>
      <c r="H369" s="1751"/>
      <c r="I369" s="1751"/>
      <c r="J369" s="1751"/>
      <c r="K369" s="1751"/>
      <c r="L369" s="1751"/>
      <c r="M369" s="1751"/>
      <c r="N369" s="1751"/>
      <c r="O369" s="1751"/>
      <c r="S369" s="1938"/>
    </row>
    <row r="370" spans="5:19" x14ac:dyDescent="0.2">
      <c r="E370" s="1751"/>
      <c r="F370" s="1751"/>
      <c r="G370" s="1751"/>
      <c r="H370" s="1751"/>
      <c r="I370" s="1751"/>
      <c r="J370" s="1751"/>
      <c r="K370" s="1751"/>
      <c r="L370" s="1751"/>
      <c r="M370" s="1751"/>
      <c r="N370" s="1751"/>
      <c r="O370" s="1751"/>
      <c r="S370" s="1938"/>
    </row>
    <row r="371" spans="5:19" x14ac:dyDescent="0.2">
      <c r="E371" s="1751"/>
      <c r="F371" s="1751"/>
      <c r="G371" s="1751"/>
      <c r="H371" s="1751"/>
      <c r="I371" s="1751"/>
      <c r="J371" s="1751"/>
      <c r="K371" s="1751"/>
      <c r="L371" s="1751"/>
      <c r="M371" s="1751"/>
      <c r="N371" s="1751"/>
      <c r="O371" s="1751"/>
      <c r="S371" s="1938"/>
    </row>
    <row r="372" spans="5:19" x14ac:dyDescent="0.2">
      <c r="E372" s="1751"/>
      <c r="F372" s="1751"/>
      <c r="G372" s="1751"/>
      <c r="H372" s="1751"/>
      <c r="I372" s="1751"/>
      <c r="J372" s="1751"/>
      <c r="K372" s="1751"/>
      <c r="L372" s="1751"/>
      <c r="M372" s="1751"/>
      <c r="N372" s="1751"/>
      <c r="O372" s="1751"/>
      <c r="S372" s="1938"/>
    </row>
    <row r="373" spans="5:19" x14ac:dyDescent="0.2">
      <c r="E373" s="1751"/>
      <c r="F373" s="1751"/>
      <c r="G373" s="1751"/>
      <c r="H373" s="1751"/>
      <c r="I373" s="1751"/>
      <c r="J373" s="1751"/>
      <c r="K373" s="1751"/>
      <c r="L373" s="1751"/>
      <c r="M373" s="1751"/>
      <c r="N373" s="1751"/>
      <c r="O373" s="1751"/>
      <c r="S373" s="1938"/>
    </row>
    <row r="374" spans="5:19" x14ac:dyDescent="0.2">
      <c r="E374" s="1751"/>
      <c r="F374" s="1751"/>
      <c r="G374" s="1751"/>
      <c r="H374" s="1751"/>
      <c r="I374" s="1751"/>
      <c r="J374" s="1751"/>
      <c r="K374" s="1751"/>
      <c r="L374" s="1751"/>
      <c r="M374" s="1751"/>
      <c r="N374" s="1751"/>
      <c r="O374" s="1751"/>
      <c r="S374" s="1938"/>
    </row>
    <row r="375" spans="5:19" x14ac:dyDescent="0.2">
      <c r="E375" s="1751"/>
      <c r="F375" s="1751"/>
      <c r="G375" s="1751"/>
      <c r="H375" s="1751"/>
      <c r="I375" s="1751"/>
      <c r="J375" s="1751"/>
      <c r="K375" s="1751"/>
      <c r="L375" s="1751"/>
      <c r="M375" s="1751"/>
      <c r="N375" s="1751"/>
      <c r="O375" s="1751"/>
      <c r="S375" s="1938"/>
    </row>
    <row r="376" spans="5:19" x14ac:dyDescent="0.2">
      <c r="E376" s="1751"/>
      <c r="F376" s="1751"/>
      <c r="G376" s="1751"/>
      <c r="H376" s="1751"/>
      <c r="I376" s="1751"/>
      <c r="J376" s="1751"/>
      <c r="K376" s="1751"/>
      <c r="L376" s="1751"/>
      <c r="M376" s="1751"/>
      <c r="N376" s="1751"/>
      <c r="O376" s="1751"/>
      <c r="S376" s="1938"/>
    </row>
    <row r="377" spans="5:19" x14ac:dyDescent="0.2">
      <c r="E377" s="1751"/>
      <c r="F377" s="1751"/>
      <c r="G377" s="1751"/>
      <c r="H377" s="1751"/>
      <c r="I377" s="1751"/>
      <c r="J377" s="1751"/>
      <c r="K377" s="1751"/>
      <c r="L377" s="1751"/>
      <c r="M377" s="1751"/>
      <c r="N377" s="1751"/>
      <c r="O377" s="1751"/>
      <c r="S377" s="1938"/>
    </row>
    <row r="378" spans="5:19" x14ac:dyDescent="0.2">
      <c r="E378" s="1751"/>
      <c r="F378" s="1751"/>
      <c r="G378" s="1751"/>
      <c r="H378" s="1751"/>
      <c r="I378" s="1751"/>
      <c r="J378" s="1751"/>
      <c r="K378" s="1751"/>
      <c r="L378" s="1751"/>
      <c r="M378" s="1751"/>
      <c r="N378" s="1751"/>
      <c r="O378" s="1751"/>
      <c r="S378" s="1938"/>
    </row>
    <row r="379" spans="5:19" x14ac:dyDescent="0.2">
      <c r="E379" s="1751"/>
      <c r="F379" s="1751"/>
      <c r="G379" s="1751"/>
      <c r="H379" s="1751"/>
      <c r="I379" s="1751"/>
      <c r="J379" s="1751"/>
      <c r="K379" s="1751"/>
      <c r="L379" s="1751"/>
      <c r="M379" s="1751"/>
      <c r="N379" s="1751"/>
      <c r="O379" s="1751"/>
      <c r="S379" s="1938"/>
    </row>
    <row r="380" spans="5:19" x14ac:dyDescent="0.2">
      <c r="E380" s="1751"/>
      <c r="F380" s="1751"/>
      <c r="G380" s="1751"/>
      <c r="H380" s="1751"/>
      <c r="I380" s="1751"/>
      <c r="J380" s="1751"/>
      <c r="K380" s="1751"/>
      <c r="L380" s="1751"/>
      <c r="M380" s="1751"/>
      <c r="N380" s="1751"/>
      <c r="O380" s="1751"/>
      <c r="S380" s="1938"/>
    </row>
    <row r="381" spans="5:19" x14ac:dyDescent="0.2">
      <c r="E381" s="1751"/>
      <c r="F381" s="1751"/>
      <c r="G381" s="1751"/>
      <c r="H381" s="1751"/>
      <c r="I381" s="1751"/>
      <c r="J381" s="1751"/>
      <c r="K381" s="1751"/>
      <c r="L381" s="1751"/>
      <c r="M381" s="1751"/>
      <c r="N381" s="1751"/>
      <c r="O381" s="1751"/>
      <c r="S381" s="1938"/>
    </row>
    <row r="382" spans="5:19" x14ac:dyDescent="0.2">
      <c r="E382" s="1751"/>
      <c r="F382" s="1751"/>
      <c r="G382" s="1751"/>
      <c r="H382" s="1751"/>
      <c r="I382" s="1751"/>
      <c r="J382" s="1751"/>
      <c r="K382" s="1751"/>
      <c r="L382" s="1751"/>
      <c r="M382" s="1751"/>
      <c r="N382" s="1751"/>
      <c r="O382" s="1751"/>
      <c r="S382" s="1938"/>
    </row>
    <row r="383" spans="5:19" x14ac:dyDescent="0.2">
      <c r="E383" s="1751"/>
      <c r="F383" s="1751"/>
      <c r="G383" s="1751"/>
      <c r="H383" s="1751"/>
      <c r="I383" s="1751"/>
      <c r="J383" s="1751"/>
      <c r="K383" s="1751"/>
      <c r="L383" s="1751"/>
      <c r="M383" s="1751"/>
      <c r="N383" s="1751"/>
      <c r="O383" s="1751"/>
      <c r="S383" s="1938"/>
    </row>
    <row r="384" spans="5:19" x14ac:dyDescent="0.2">
      <c r="E384" s="1751"/>
      <c r="F384" s="1751"/>
      <c r="G384" s="1751"/>
      <c r="H384" s="1751"/>
      <c r="I384" s="1751"/>
      <c r="J384" s="1751"/>
      <c r="K384" s="1751"/>
      <c r="L384" s="1751"/>
      <c r="M384" s="1751"/>
      <c r="N384" s="1751"/>
      <c r="O384" s="1751"/>
      <c r="S384" s="1938"/>
    </row>
    <row r="385" spans="5:19" x14ac:dyDescent="0.2">
      <c r="E385" s="1751"/>
      <c r="F385" s="1751"/>
      <c r="G385" s="1751"/>
      <c r="H385" s="1751"/>
      <c r="I385" s="1751"/>
      <c r="J385" s="1751"/>
      <c r="K385" s="1751"/>
      <c r="L385" s="1751"/>
      <c r="M385" s="1751"/>
      <c r="N385" s="1751"/>
      <c r="O385" s="1751"/>
      <c r="S385" s="1938"/>
    </row>
    <row r="386" spans="5:19" x14ac:dyDescent="0.2">
      <c r="E386" s="1751"/>
      <c r="F386" s="1751"/>
      <c r="G386" s="1751"/>
      <c r="H386" s="1751"/>
      <c r="I386" s="1751"/>
      <c r="J386" s="1751"/>
      <c r="K386" s="1751"/>
      <c r="L386" s="1751"/>
      <c r="M386" s="1751"/>
      <c r="N386" s="1751"/>
      <c r="O386" s="1751"/>
      <c r="S386" s="1938"/>
    </row>
    <row r="387" spans="5:19" x14ac:dyDescent="0.2">
      <c r="E387" s="1751"/>
      <c r="F387" s="1751"/>
      <c r="G387" s="1751"/>
      <c r="H387" s="1751"/>
      <c r="I387" s="1751"/>
      <c r="J387" s="1751"/>
      <c r="K387" s="1751"/>
      <c r="L387" s="1751"/>
      <c r="M387" s="1751"/>
      <c r="N387" s="1751"/>
      <c r="O387" s="1751"/>
      <c r="S387" s="1938"/>
    </row>
    <row r="388" spans="5:19" x14ac:dyDescent="0.2">
      <c r="E388" s="1751"/>
      <c r="F388" s="1751"/>
      <c r="G388" s="1751"/>
      <c r="H388" s="1751"/>
      <c r="I388" s="1751"/>
      <c r="J388" s="1751"/>
      <c r="K388" s="1751"/>
      <c r="L388" s="1751"/>
      <c r="M388" s="1751"/>
      <c r="N388" s="1751"/>
      <c r="O388" s="1751"/>
      <c r="S388" s="1938"/>
    </row>
    <row r="389" spans="5:19" x14ac:dyDescent="0.2">
      <c r="E389" s="1751"/>
      <c r="F389" s="1751"/>
      <c r="G389" s="1751"/>
      <c r="H389" s="1751"/>
      <c r="I389" s="1751"/>
      <c r="J389" s="1751"/>
      <c r="K389" s="1751"/>
      <c r="L389" s="1751"/>
      <c r="M389" s="1751"/>
      <c r="N389" s="1751"/>
      <c r="O389" s="1751"/>
      <c r="S389" s="1938"/>
    </row>
    <row r="390" spans="5:19" x14ac:dyDescent="0.2">
      <c r="E390" s="1751"/>
      <c r="F390" s="1751"/>
      <c r="G390" s="1751"/>
      <c r="H390" s="1751"/>
      <c r="I390" s="1751"/>
      <c r="J390" s="1751"/>
      <c r="K390" s="1751"/>
      <c r="L390" s="1751"/>
      <c r="M390" s="1751"/>
      <c r="N390" s="1751"/>
      <c r="O390" s="1751"/>
      <c r="S390" s="1938"/>
    </row>
    <row r="391" spans="5:19" x14ac:dyDescent="0.2">
      <c r="E391" s="1751"/>
      <c r="F391" s="1751"/>
      <c r="G391" s="1751"/>
      <c r="H391" s="1751"/>
      <c r="I391" s="1751"/>
      <c r="J391" s="1751"/>
      <c r="K391" s="1751"/>
      <c r="L391" s="1751"/>
      <c r="M391" s="1751"/>
      <c r="N391" s="1751"/>
      <c r="O391" s="1751"/>
      <c r="S391" s="1938"/>
    </row>
    <row r="392" spans="5:19" x14ac:dyDescent="0.2">
      <c r="E392" s="1751"/>
      <c r="F392" s="1751"/>
      <c r="G392" s="1751"/>
      <c r="H392" s="1751"/>
      <c r="I392" s="1751"/>
      <c r="J392" s="1751"/>
      <c r="K392" s="1751"/>
      <c r="L392" s="1751"/>
      <c r="M392" s="1751"/>
      <c r="N392" s="1751"/>
      <c r="O392" s="1751"/>
      <c r="S392" s="1938"/>
    </row>
    <row r="393" spans="5:19" x14ac:dyDescent="0.2">
      <c r="E393" s="1751"/>
      <c r="F393" s="1751"/>
      <c r="G393" s="1751"/>
      <c r="H393" s="1751"/>
      <c r="I393" s="1751"/>
      <c r="J393" s="1751"/>
      <c r="K393" s="1751"/>
      <c r="L393" s="1751"/>
      <c r="M393" s="1751"/>
      <c r="N393" s="1751"/>
      <c r="O393" s="1751"/>
      <c r="S393" s="1938"/>
    </row>
    <row r="394" spans="5:19" x14ac:dyDescent="0.2">
      <c r="E394" s="1751"/>
      <c r="F394" s="1751"/>
      <c r="G394" s="1751"/>
      <c r="H394" s="1751"/>
      <c r="I394" s="1751"/>
      <c r="J394" s="1751"/>
      <c r="K394" s="1751"/>
      <c r="L394" s="1751"/>
      <c r="M394" s="1751"/>
      <c r="N394" s="1751"/>
      <c r="O394" s="1751"/>
      <c r="S394" s="1938"/>
    </row>
    <row r="395" spans="5:19" x14ac:dyDescent="0.2">
      <c r="E395" s="1751"/>
      <c r="F395" s="1751"/>
      <c r="G395" s="1751"/>
      <c r="H395" s="1751"/>
      <c r="I395" s="1751"/>
      <c r="J395" s="1751"/>
      <c r="K395" s="1751"/>
      <c r="L395" s="1751"/>
      <c r="M395" s="1751"/>
      <c r="N395" s="1751"/>
      <c r="O395" s="1751"/>
      <c r="S395" s="1938"/>
    </row>
    <row r="396" spans="5:19" x14ac:dyDescent="0.2">
      <c r="E396" s="1751"/>
      <c r="F396" s="1751"/>
      <c r="G396" s="1751"/>
      <c r="H396" s="1751"/>
      <c r="I396" s="1751"/>
      <c r="J396" s="1751"/>
      <c r="K396" s="1751"/>
      <c r="L396" s="1751"/>
      <c r="M396" s="1751"/>
      <c r="N396" s="1751"/>
      <c r="O396" s="1751"/>
      <c r="S396" s="1938"/>
    </row>
    <row r="397" spans="5:19" x14ac:dyDescent="0.2">
      <c r="E397" s="1751"/>
      <c r="F397" s="1751"/>
      <c r="G397" s="1751"/>
      <c r="H397" s="1751"/>
      <c r="I397" s="1751"/>
      <c r="J397" s="1751"/>
      <c r="K397" s="1751"/>
      <c r="L397" s="1751"/>
      <c r="M397" s="1751"/>
      <c r="N397" s="1751"/>
      <c r="O397" s="1751"/>
      <c r="S397" s="1938"/>
    </row>
    <row r="398" spans="5:19" x14ac:dyDescent="0.2">
      <c r="E398" s="1751"/>
      <c r="F398" s="1751"/>
      <c r="G398" s="1751"/>
      <c r="H398" s="1751"/>
      <c r="I398" s="1751"/>
      <c r="J398" s="1751"/>
      <c r="K398" s="1751"/>
      <c r="L398" s="1751"/>
      <c r="M398" s="1751"/>
      <c r="N398" s="1751"/>
      <c r="O398" s="1751"/>
      <c r="S398" s="1938"/>
    </row>
    <row r="399" spans="5:19" x14ac:dyDescent="0.2">
      <c r="E399" s="1751"/>
      <c r="F399" s="1751"/>
      <c r="G399" s="1751"/>
      <c r="H399" s="1751"/>
      <c r="I399" s="1751"/>
      <c r="J399" s="1751"/>
      <c r="K399" s="1751"/>
      <c r="L399" s="1751"/>
      <c r="M399" s="1751"/>
      <c r="N399" s="1751"/>
      <c r="O399" s="1751"/>
      <c r="S399" s="1938"/>
    </row>
    <row r="400" spans="5:19" x14ac:dyDescent="0.2">
      <c r="E400" s="1751"/>
      <c r="F400" s="1751"/>
      <c r="G400" s="1751"/>
      <c r="H400" s="1751"/>
      <c r="I400" s="1751"/>
      <c r="J400" s="1751"/>
      <c r="K400" s="1751"/>
      <c r="L400" s="1751"/>
      <c r="M400" s="1751"/>
      <c r="N400" s="1751"/>
      <c r="O400" s="1751"/>
      <c r="S400" s="1938"/>
    </row>
    <row r="401" spans="5:19" x14ac:dyDescent="0.2">
      <c r="E401" s="1751"/>
      <c r="F401" s="1751"/>
      <c r="G401" s="1751"/>
      <c r="H401" s="1751"/>
      <c r="I401" s="1751"/>
      <c r="J401" s="1751"/>
      <c r="K401" s="1751"/>
      <c r="L401" s="1751"/>
      <c r="M401" s="1751"/>
      <c r="N401" s="1751"/>
      <c r="O401" s="1751"/>
      <c r="S401" s="1938"/>
    </row>
    <row r="402" spans="5:19" x14ac:dyDescent="0.2">
      <c r="E402" s="1751"/>
      <c r="F402" s="1751"/>
      <c r="G402" s="1751"/>
      <c r="H402" s="1751"/>
      <c r="I402" s="1751"/>
      <c r="J402" s="1751"/>
      <c r="K402" s="1751"/>
      <c r="L402" s="1751"/>
      <c r="M402" s="1751"/>
      <c r="N402" s="1751"/>
      <c r="O402" s="1751"/>
      <c r="S402" s="1938"/>
    </row>
    <row r="403" spans="5:19" x14ac:dyDescent="0.2">
      <c r="E403" s="1751"/>
      <c r="F403" s="1751"/>
      <c r="G403" s="1751"/>
      <c r="H403" s="1751"/>
      <c r="I403" s="1751"/>
      <c r="J403" s="1751"/>
      <c r="K403" s="1751"/>
      <c r="L403" s="1751"/>
      <c r="M403" s="1751"/>
      <c r="N403" s="1751"/>
      <c r="O403" s="1751"/>
      <c r="S403" s="1938"/>
    </row>
    <row r="404" spans="5:19" x14ac:dyDescent="0.2">
      <c r="E404" s="1751"/>
      <c r="F404" s="1751"/>
      <c r="G404" s="1751"/>
      <c r="H404" s="1751"/>
      <c r="I404" s="1751"/>
      <c r="J404" s="1751"/>
      <c r="K404" s="1751"/>
      <c r="L404" s="1751"/>
      <c r="M404" s="1751"/>
      <c r="N404" s="1751"/>
      <c r="O404" s="1751"/>
      <c r="S404" s="1938"/>
    </row>
    <row r="405" spans="5:19" x14ac:dyDescent="0.2">
      <c r="E405" s="1751"/>
      <c r="F405" s="1751"/>
      <c r="G405" s="1751"/>
      <c r="H405" s="1751"/>
      <c r="I405" s="1751"/>
      <c r="J405" s="1751"/>
      <c r="K405" s="1751"/>
      <c r="L405" s="1751"/>
      <c r="M405" s="1751"/>
      <c r="N405" s="1751"/>
      <c r="O405" s="1751"/>
      <c r="S405" s="1938"/>
    </row>
    <row r="406" spans="5:19" x14ac:dyDescent="0.2">
      <c r="E406" s="1751"/>
      <c r="F406" s="1751"/>
      <c r="G406" s="1751"/>
      <c r="H406" s="1751"/>
      <c r="I406" s="1751"/>
      <c r="J406" s="1751"/>
      <c r="K406" s="1751"/>
      <c r="L406" s="1751"/>
      <c r="M406" s="1751"/>
      <c r="N406" s="1751"/>
      <c r="O406" s="1751"/>
      <c r="S406" s="1938"/>
    </row>
    <row r="407" spans="5:19" x14ac:dyDescent="0.2">
      <c r="E407" s="1751"/>
      <c r="F407" s="1751"/>
      <c r="G407" s="1751"/>
      <c r="H407" s="1751"/>
      <c r="I407" s="1751"/>
      <c r="J407" s="1751"/>
      <c r="K407" s="1751"/>
      <c r="L407" s="1751"/>
      <c r="M407" s="1751"/>
      <c r="N407" s="1751"/>
      <c r="O407" s="1751"/>
      <c r="S407" s="1938"/>
    </row>
    <row r="408" spans="5:19" x14ac:dyDescent="0.2">
      <c r="E408" s="1751"/>
      <c r="F408" s="1751"/>
      <c r="G408" s="1751"/>
      <c r="H408" s="1751"/>
      <c r="I408" s="1751"/>
      <c r="J408" s="1751"/>
      <c r="K408" s="1751"/>
      <c r="L408" s="1751"/>
      <c r="M408" s="1751"/>
      <c r="N408" s="1751"/>
      <c r="O408" s="1751"/>
      <c r="S408" s="1938"/>
    </row>
    <row r="409" spans="5:19" x14ac:dyDescent="0.2">
      <c r="E409" s="1751"/>
      <c r="F409" s="1751"/>
      <c r="G409" s="1751"/>
      <c r="H409" s="1751"/>
      <c r="I409" s="1751"/>
      <c r="J409" s="1751"/>
      <c r="K409" s="1751"/>
      <c r="L409" s="1751"/>
      <c r="M409" s="1751"/>
      <c r="N409" s="1751"/>
      <c r="O409" s="1751"/>
      <c r="S409" s="1938"/>
    </row>
    <row r="410" spans="5:19" x14ac:dyDescent="0.2">
      <c r="E410" s="1751"/>
      <c r="F410" s="1751"/>
      <c r="G410" s="1751"/>
      <c r="H410" s="1751"/>
      <c r="I410" s="1751"/>
      <c r="J410" s="1751"/>
      <c r="K410" s="1751"/>
      <c r="L410" s="1751"/>
      <c r="M410" s="1751"/>
      <c r="N410" s="1751"/>
      <c r="O410" s="1751"/>
      <c r="S410" s="1938"/>
    </row>
    <row r="411" spans="5:19" x14ac:dyDescent="0.2">
      <c r="E411" s="1751"/>
      <c r="F411" s="1751"/>
      <c r="G411" s="1751"/>
      <c r="H411" s="1751"/>
      <c r="I411" s="1751"/>
      <c r="J411" s="1751"/>
      <c r="K411" s="1751"/>
      <c r="L411" s="1751"/>
      <c r="M411" s="1751"/>
      <c r="N411" s="1751"/>
      <c r="O411" s="1751"/>
      <c r="S411" s="1938"/>
    </row>
    <row r="412" spans="5:19" x14ac:dyDescent="0.2">
      <c r="E412" s="1751"/>
      <c r="F412" s="1751"/>
      <c r="G412" s="1751"/>
      <c r="H412" s="1751"/>
      <c r="I412" s="1751"/>
      <c r="J412" s="1751"/>
      <c r="K412" s="1751"/>
      <c r="L412" s="1751"/>
      <c r="M412" s="1751"/>
      <c r="N412" s="1751"/>
      <c r="O412" s="1751"/>
      <c r="S412" s="1938"/>
    </row>
    <row r="413" spans="5:19" x14ac:dyDescent="0.2">
      <c r="E413" s="1751"/>
      <c r="F413" s="1751"/>
      <c r="G413" s="1751"/>
      <c r="H413" s="1751"/>
      <c r="I413" s="1751"/>
      <c r="J413" s="1751"/>
      <c r="K413" s="1751"/>
      <c r="L413" s="1751"/>
      <c r="M413" s="1751"/>
      <c r="N413" s="1751"/>
      <c r="O413" s="1751"/>
      <c r="S413" s="1938"/>
    </row>
    <row r="414" spans="5:19" x14ac:dyDescent="0.2">
      <c r="E414" s="1751"/>
      <c r="F414" s="1751"/>
      <c r="G414" s="1751"/>
      <c r="H414" s="1751"/>
      <c r="I414" s="1751"/>
      <c r="J414" s="1751"/>
      <c r="K414" s="1751"/>
      <c r="L414" s="1751"/>
      <c r="M414" s="1751"/>
      <c r="N414" s="1751"/>
      <c r="O414" s="1751"/>
      <c r="S414" s="1938"/>
    </row>
    <row r="415" spans="5:19" x14ac:dyDescent="0.2">
      <c r="E415" s="1751"/>
      <c r="F415" s="1751"/>
      <c r="G415" s="1751"/>
      <c r="H415" s="1751"/>
      <c r="I415" s="1751"/>
      <c r="J415" s="1751"/>
      <c r="K415" s="1751"/>
      <c r="L415" s="1751"/>
      <c r="M415" s="1751"/>
      <c r="N415" s="1751"/>
      <c r="O415" s="1751"/>
      <c r="S415" s="1938"/>
    </row>
    <row r="416" spans="5:19" x14ac:dyDescent="0.2">
      <c r="E416" s="1751"/>
      <c r="F416" s="1751"/>
      <c r="G416" s="1751"/>
      <c r="H416" s="1751"/>
      <c r="I416" s="1751"/>
      <c r="J416" s="1751"/>
      <c r="K416" s="1751"/>
      <c r="L416" s="1751"/>
      <c r="M416" s="1751"/>
      <c r="N416" s="1751"/>
      <c r="O416" s="1751"/>
      <c r="S416" s="1938"/>
    </row>
    <row r="417" spans="5:19" x14ac:dyDescent="0.2">
      <c r="E417" s="1751"/>
      <c r="F417" s="1751"/>
      <c r="G417" s="1751"/>
      <c r="H417" s="1751"/>
      <c r="I417" s="1751"/>
      <c r="J417" s="1751"/>
      <c r="K417" s="1751"/>
      <c r="L417" s="1751"/>
      <c r="M417" s="1751"/>
      <c r="N417" s="1751"/>
      <c r="O417" s="1751"/>
      <c r="S417" s="1938"/>
    </row>
    <row r="418" spans="5:19" x14ac:dyDescent="0.2">
      <c r="E418" s="1751"/>
      <c r="F418" s="1751"/>
      <c r="G418" s="1751"/>
      <c r="H418" s="1751"/>
      <c r="I418" s="1751"/>
      <c r="J418" s="1751"/>
      <c r="K418" s="1751"/>
      <c r="L418" s="1751"/>
      <c r="M418" s="1751"/>
      <c r="N418" s="1751"/>
      <c r="O418" s="1751"/>
      <c r="S418" s="1938"/>
    </row>
    <row r="419" spans="5:19" x14ac:dyDescent="0.2">
      <c r="E419" s="1751"/>
      <c r="F419" s="1751"/>
      <c r="G419" s="1751"/>
      <c r="H419" s="1751"/>
      <c r="I419" s="1751"/>
      <c r="J419" s="1751"/>
      <c r="K419" s="1751"/>
      <c r="L419" s="1751"/>
      <c r="M419" s="1751"/>
      <c r="N419" s="1751"/>
      <c r="O419" s="1751"/>
      <c r="S419" s="1938"/>
    </row>
    <row r="420" spans="5:19" x14ac:dyDescent="0.2">
      <c r="E420" s="1751"/>
      <c r="F420" s="1751"/>
      <c r="G420" s="1751"/>
      <c r="H420" s="1751"/>
      <c r="I420" s="1751"/>
      <c r="J420" s="1751"/>
      <c r="K420" s="1751"/>
      <c r="L420" s="1751"/>
      <c r="M420" s="1751"/>
      <c r="N420" s="1751"/>
      <c r="O420" s="1751"/>
      <c r="S420" s="1938"/>
    </row>
    <row r="421" spans="5:19" x14ac:dyDescent="0.2">
      <c r="E421" s="1751"/>
      <c r="F421" s="1751"/>
      <c r="G421" s="1751"/>
      <c r="H421" s="1751"/>
      <c r="I421" s="1751"/>
      <c r="J421" s="1751"/>
      <c r="K421" s="1751"/>
      <c r="L421" s="1751"/>
      <c r="M421" s="1751"/>
      <c r="N421" s="1751"/>
      <c r="O421" s="1751"/>
      <c r="S421" s="1938"/>
    </row>
    <row r="422" spans="5:19" x14ac:dyDescent="0.2">
      <c r="E422" s="1751"/>
      <c r="F422" s="1751"/>
      <c r="G422" s="1751"/>
      <c r="H422" s="1751"/>
      <c r="I422" s="1751"/>
      <c r="J422" s="1751"/>
      <c r="K422" s="1751"/>
      <c r="L422" s="1751"/>
      <c r="M422" s="1751"/>
      <c r="N422" s="1751"/>
      <c r="O422" s="1751"/>
      <c r="S422" s="1938"/>
    </row>
    <row r="423" spans="5:19" x14ac:dyDescent="0.2">
      <c r="E423" s="1751"/>
      <c r="F423" s="1751"/>
      <c r="G423" s="1751"/>
      <c r="H423" s="1751"/>
      <c r="I423" s="1751"/>
      <c r="J423" s="1751"/>
      <c r="K423" s="1751"/>
      <c r="L423" s="1751"/>
      <c r="M423" s="1751"/>
      <c r="N423" s="1751"/>
      <c r="O423" s="1751"/>
      <c r="S423" s="1938"/>
    </row>
    <row r="424" spans="5:19" x14ac:dyDescent="0.2">
      <c r="E424" s="1751"/>
      <c r="F424" s="1751"/>
      <c r="G424" s="1751"/>
      <c r="H424" s="1751"/>
      <c r="I424" s="1751"/>
      <c r="J424" s="1751"/>
      <c r="K424" s="1751"/>
      <c r="L424" s="1751"/>
      <c r="M424" s="1751"/>
      <c r="N424" s="1751"/>
      <c r="O424" s="1751"/>
      <c r="S424" s="1938"/>
    </row>
    <row r="425" spans="5:19" x14ac:dyDescent="0.2">
      <c r="E425" s="1751"/>
      <c r="F425" s="1751"/>
      <c r="G425" s="1751"/>
      <c r="H425" s="1751"/>
      <c r="I425" s="1751"/>
      <c r="J425" s="1751"/>
      <c r="K425" s="1751"/>
      <c r="L425" s="1751"/>
      <c r="M425" s="1751"/>
      <c r="N425" s="1751"/>
      <c r="O425" s="1751"/>
      <c r="S425" s="1938"/>
    </row>
    <row r="426" spans="5:19" x14ac:dyDescent="0.2">
      <c r="E426" s="1751"/>
      <c r="F426" s="1751"/>
      <c r="G426" s="1751"/>
      <c r="H426" s="1751"/>
      <c r="I426" s="1751"/>
      <c r="J426" s="1751"/>
      <c r="K426" s="1751"/>
      <c r="L426" s="1751"/>
      <c r="M426" s="1751"/>
      <c r="N426" s="1751"/>
      <c r="O426" s="1751"/>
      <c r="S426" s="1938"/>
    </row>
    <row r="427" spans="5:19" x14ac:dyDescent="0.2">
      <c r="E427" s="1751"/>
      <c r="F427" s="1751"/>
      <c r="G427" s="1751"/>
      <c r="H427" s="1751"/>
      <c r="I427" s="1751"/>
      <c r="J427" s="1751"/>
      <c r="K427" s="1751"/>
      <c r="L427" s="1751"/>
      <c r="M427" s="1751"/>
      <c r="N427" s="1751"/>
      <c r="O427" s="1751"/>
      <c r="S427" s="1938"/>
    </row>
    <row r="428" spans="5:19" x14ac:dyDescent="0.2">
      <c r="E428" s="1751"/>
      <c r="F428" s="1751"/>
      <c r="G428" s="1751"/>
      <c r="H428" s="1751"/>
      <c r="I428" s="1751"/>
      <c r="J428" s="1751"/>
      <c r="K428" s="1751"/>
      <c r="L428" s="1751"/>
      <c r="M428" s="1751"/>
      <c r="N428" s="1751"/>
      <c r="O428" s="1751"/>
      <c r="S428" s="1938"/>
    </row>
    <row r="429" spans="5:19" x14ac:dyDescent="0.2">
      <c r="E429" s="1751"/>
      <c r="F429" s="1751"/>
      <c r="G429" s="1751"/>
      <c r="H429" s="1751"/>
      <c r="I429" s="1751"/>
      <c r="J429" s="1751"/>
      <c r="K429" s="1751"/>
      <c r="L429" s="1751"/>
      <c r="M429" s="1751"/>
      <c r="N429" s="1751"/>
      <c r="O429" s="1751"/>
      <c r="S429" s="1938"/>
    </row>
    <row r="430" spans="5:19" x14ac:dyDescent="0.2">
      <c r="E430" s="1751"/>
      <c r="F430" s="1751"/>
      <c r="G430" s="1751"/>
      <c r="H430" s="1751"/>
      <c r="I430" s="1751"/>
      <c r="J430" s="1751"/>
      <c r="K430" s="1751"/>
      <c r="L430" s="1751"/>
      <c r="M430" s="1751"/>
      <c r="N430" s="1751"/>
      <c r="O430" s="1751"/>
      <c r="S430" s="1938"/>
    </row>
    <row r="431" spans="5:19" x14ac:dyDescent="0.2">
      <c r="E431" s="1751"/>
      <c r="F431" s="1751"/>
      <c r="G431" s="1751"/>
      <c r="H431" s="1751"/>
      <c r="I431" s="1751"/>
      <c r="J431" s="1751"/>
      <c r="K431" s="1751"/>
      <c r="L431" s="1751"/>
      <c r="M431" s="1751"/>
      <c r="N431" s="1751"/>
      <c r="O431" s="1751"/>
      <c r="S431" s="1938"/>
    </row>
    <row r="432" spans="5:19" x14ac:dyDescent="0.2">
      <c r="E432" s="1751"/>
      <c r="F432" s="1751"/>
      <c r="G432" s="1751"/>
      <c r="H432" s="1751"/>
      <c r="I432" s="1751"/>
      <c r="J432" s="1751"/>
      <c r="K432" s="1751"/>
      <c r="L432" s="1751"/>
      <c r="M432" s="1751"/>
      <c r="N432" s="1751"/>
      <c r="O432" s="1751"/>
      <c r="S432" s="1938"/>
    </row>
    <row r="433" spans="5:19" x14ac:dyDescent="0.2">
      <c r="E433" s="1751"/>
      <c r="F433" s="1751"/>
      <c r="G433" s="1751"/>
      <c r="H433" s="1751"/>
      <c r="I433" s="1751"/>
      <c r="J433" s="1751"/>
      <c r="K433" s="1751"/>
      <c r="L433" s="1751"/>
      <c r="M433" s="1751"/>
      <c r="N433" s="1751"/>
      <c r="O433" s="1751"/>
      <c r="S433" s="1938"/>
    </row>
    <row r="434" spans="5:19" x14ac:dyDescent="0.2">
      <c r="E434" s="1751"/>
      <c r="F434" s="1751"/>
      <c r="G434" s="1751"/>
      <c r="H434" s="1751"/>
      <c r="I434" s="1751"/>
      <c r="J434" s="1751"/>
      <c r="K434" s="1751"/>
      <c r="L434" s="1751"/>
      <c r="M434" s="1751"/>
      <c r="N434" s="1751"/>
      <c r="O434" s="1751"/>
      <c r="S434" s="1938"/>
    </row>
    <row r="435" spans="5:19" x14ac:dyDescent="0.2">
      <c r="E435" s="1751"/>
      <c r="F435" s="1751"/>
      <c r="G435" s="1751"/>
      <c r="H435" s="1751"/>
      <c r="I435" s="1751"/>
      <c r="J435" s="1751"/>
      <c r="K435" s="1751"/>
      <c r="L435" s="1751"/>
      <c r="M435" s="1751"/>
      <c r="N435" s="1751"/>
      <c r="O435" s="1751"/>
      <c r="S435" s="1938"/>
    </row>
    <row r="436" spans="5:19" x14ac:dyDescent="0.2">
      <c r="E436" s="1751"/>
      <c r="F436" s="1751"/>
      <c r="G436" s="1751"/>
      <c r="H436" s="1751"/>
      <c r="I436" s="1751"/>
      <c r="J436" s="1751"/>
      <c r="K436" s="1751"/>
      <c r="L436" s="1751"/>
      <c r="M436" s="1751"/>
      <c r="N436" s="1751"/>
      <c r="O436" s="1751"/>
      <c r="S436" s="1938"/>
    </row>
    <row r="437" spans="5:19" x14ac:dyDescent="0.2">
      <c r="E437" s="1751"/>
      <c r="F437" s="1751"/>
      <c r="G437" s="1751"/>
      <c r="H437" s="1751"/>
      <c r="I437" s="1751"/>
      <c r="J437" s="1751"/>
      <c r="K437" s="1751"/>
      <c r="L437" s="1751"/>
      <c r="M437" s="1751"/>
      <c r="N437" s="1751"/>
      <c r="O437" s="1751"/>
      <c r="S437" s="1938"/>
    </row>
    <row r="438" spans="5:19" x14ac:dyDescent="0.2">
      <c r="E438" s="1751"/>
      <c r="F438" s="1751"/>
      <c r="G438" s="1751"/>
      <c r="H438" s="1751"/>
      <c r="I438" s="1751"/>
      <c r="J438" s="1751"/>
      <c r="K438" s="1751"/>
      <c r="L438" s="1751"/>
      <c r="M438" s="1751"/>
      <c r="N438" s="1751"/>
      <c r="O438" s="1751"/>
      <c r="S438" s="1938"/>
    </row>
    <row r="439" spans="5:19" x14ac:dyDescent="0.2">
      <c r="E439" s="1751"/>
      <c r="F439" s="1751"/>
      <c r="G439" s="1751"/>
      <c r="H439" s="1751"/>
      <c r="I439" s="1751"/>
      <c r="J439" s="1751"/>
      <c r="K439" s="1751"/>
      <c r="L439" s="1751"/>
      <c r="M439" s="1751"/>
      <c r="N439" s="1751"/>
      <c r="O439" s="1751"/>
      <c r="S439" s="1938"/>
    </row>
    <row r="440" spans="5:19" x14ac:dyDescent="0.2">
      <c r="E440" s="1751"/>
      <c r="F440" s="1751"/>
      <c r="G440" s="1751"/>
      <c r="H440" s="1751"/>
      <c r="I440" s="1751"/>
      <c r="J440" s="1751"/>
      <c r="K440" s="1751"/>
      <c r="L440" s="1751"/>
      <c r="M440" s="1751"/>
      <c r="N440" s="1751"/>
      <c r="O440" s="1751"/>
      <c r="S440" s="1938"/>
    </row>
    <row r="441" spans="5:19" x14ac:dyDescent="0.2">
      <c r="E441" s="1751"/>
      <c r="F441" s="1751"/>
      <c r="G441" s="1751"/>
      <c r="H441" s="1751"/>
      <c r="I441" s="1751"/>
      <c r="J441" s="1751"/>
      <c r="K441" s="1751"/>
      <c r="L441" s="1751"/>
      <c r="M441" s="1751"/>
      <c r="N441" s="1751"/>
      <c r="O441" s="1751"/>
      <c r="S441" s="1938"/>
    </row>
    <row r="442" spans="5:19" x14ac:dyDescent="0.2">
      <c r="E442" s="1751"/>
      <c r="F442" s="1751"/>
      <c r="G442" s="1751"/>
      <c r="H442" s="1751"/>
      <c r="I442" s="1751"/>
      <c r="J442" s="1751"/>
      <c r="K442" s="1751"/>
      <c r="L442" s="1751"/>
      <c r="M442" s="1751"/>
      <c r="N442" s="1751"/>
      <c r="O442" s="1751"/>
      <c r="S442" s="1938"/>
    </row>
    <row r="443" spans="5:19" x14ac:dyDescent="0.2">
      <c r="E443" s="1751"/>
      <c r="F443" s="1751"/>
      <c r="G443" s="1751"/>
      <c r="H443" s="1751"/>
      <c r="I443" s="1751"/>
      <c r="J443" s="1751"/>
      <c r="K443" s="1751"/>
      <c r="L443" s="1751"/>
      <c r="M443" s="1751"/>
      <c r="N443" s="1751"/>
      <c r="O443" s="1751"/>
      <c r="S443" s="1938"/>
    </row>
    <row r="444" spans="5:19" x14ac:dyDescent="0.2">
      <c r="E444" s="1751"/>
      <c r="F444" s="1751"/>
      <c r="G444" s="1751"/>
      <c r="H444" s="1751"/>
      <c r="I444" s="1751"/>
      <c r="J444" s="1751"/>
      <c r="K444" s="1751"/>
      <c r="L444" s="1751"/>
      <c r="M444" s="1751"/>
      <c r="N444" s="1751"/>
      <c r="O444" s="1751"/>
      <c r="S444" s="1938"/>
    </row>
    <row r="445" spans="5:19" x14ac:dyDescent="0.2">
      <c r="E445" s="1751"/>
      <c r="F445" s="1751"/>
      <c r="G445" s="1751"/>
      <c r="H445" s="1751"/>
      <c r="I445" s="1751"/>
      <c r="J445" s="1751"/>
      <c r="K445" s="1751"/>
      <c r="L445" s="1751"/>
      <c r="M445" s="1751"/>
      <c r="N445" s="1751"/>
      <c r="O445" s="1751"/>
      <c r="S445" s="1938"/>
    </row>
    <row r="446" spans="5:19" x14ac:dyDescent="0.2">
      <c r="E446" s="1751"/>
      <c r="F446" s="1751"/>
      <c r="G446" s="1751"/>
      <c r="H446" s="1751"/>
      <c r="I446" s="1751"/>
      <c r="J446" s="1751"/>
      <c r="K446" s="1751"/>
      <c r="L446" s="1751"/>
      <c r="M446" s="1751"/>
      <c r="N446" s="1751"/>
      <c r="O446" s="1751"/>
      <c r="S446" s="1938"/>
    </row>
    <row r="447" spans="5:19" x14ac:dyDescent="0.2">
      <c r="E447" s="1751"/>
      <c r="F447" s="1751"/>
      <c r="G447" s="1751"/>
      <c r="H447" s="1751"/>
      <c r="I447" s="1751"/>
      <c r="J447" s="1751"/>
      <c r="K447" s="1751"/>
      <c r="L447" s="1751"/>
      <c r="M447" s="1751"/>
      <c r="N447" s="1751"/>
      <c r="O447" s="1751"/>
      <c r="S447" s="1938"/>
    </row>
    <row r="448" spans="5:19" x14ac:dyDescent="0.2">
      <c r="E448" s="1751"/>
      <c r="F448" s="1751"/>
      <c r="G448" s="1751"/>
      <c r="H448" s="1751"/>
      <c r="I448" s="1751"/>
      <c r="J448" s="1751"/>
      <c r="K448" s="1751"/>
      <c r="L448" s="1751"/>
      <c r="M448" s="1751"/>
      <c r="N448" s="1751"/>
      <c r="O448" s="1751"/>
      <c r="S448" s="1938"/>
    </row>
    <row r="449" spans="5:19" x14ac:dyDescent="0.2">
      <c r="E449" s="1751"/>
      <c r="F449" s="1751"/>
      <c r="G449" s="1751"/>
      <c r="H449" s="1751"/>
      <c r="I449" s="1751"/>
      <c r="J449" s="1751"/>
      <c r="K449" s="1751"/>
      <c r="L449" s="1751"/>
      <c r="M449" s="1751"/>
      <c r="N449" s="1751"/>
      <c r="O449" s="1751"/>
      <c r="S449" s="1938"/>
    </row>
    <row r="450" spans="5:19" x14ac:dyDescent="0.2">
      <c r="E450" s="1751"/>
      <c r="F450" s="1751"/>
      <c r="G450" s="1751"/>
      <c r="H450" s="1751"/>
      <c r="I450" s="1751"/>
      <c r="J450" s="1751"/>
      <c r="K450" s="1751"/>
      <c r="L450" s="1751"/>
      <c r="M450" s="1751"/>
      <c r="N450" s="1751"/>
      <c r="O450" s="1751"/>
      <c r="S450" s="1938"/>
    </row>
    <row r="451" spans="5:19" x14ac:dyDescent="0.2">
      <c r="E451" s="1751"/>
      <c r="F451" s="1751"/>
      <c r="G451" s="1751"/>
      <c r="H451" s="1751"/>
      <c r="I451" s="1751"/>
      <c r="J451" s="1751"/>
      <c r="K451" s="1751"/>
      <c r="L451" s="1751"/>
      <c r="M451" s="1751"/>
      <c r="N451" s="1751"/>
      <c r="O451" s="1751"/>
      <c r="S451" s="1938"/>
    </row>
    <row r="452" spans="5:19" x14ac:dyDescent="0.2">
      <c r="E452" s="1751"/>
      <c r="F452" s="1751"/>
      <c r="G452" s="1751"/>
      <c r="H452" s="1751"/>
      <c r="I452" s="1751"/>
      <c r="J452" s="1751"/>
      <c r="K452" s="1751"/>
      <c r="L452" s="1751"/>
      <c r="M452" s="1751"/>
      <c r="N452" s="1751"/>
      <c r="O452" s="1751"/>
      <c r="S452" s="1938"/>
    </row>
    <row r="453" spans="5:19" x14ac:dyDescent="0.2">
      <c r="E453" s="1751"/>
      <c r="F453" s="1751"/>
      <c r="G453" s="1751"/>
      <c r="H453" s="1751"/>
      <c r="I453" s="1751"/>
      <c r="J453" s="1751"/>
      <c r="K453" s="1751"/>
      <c r="L453" s="1751"/>
      <c r="M453" s="1751"/>
      <c r="N453" s="1751"/>
      <c r="O453" s="1751"/>
      <c r="S453" s="1938"/>
    </row>
    <row r="454" spans="5:19" x14ac:dyDescent="0.2">
      <c r="E454" s="1751"/>
      <c r="F454" s="1751"/>
      <c r="G454" s="1751"/>
      <c r="H454" s="1751"/>
      <c r="I454" s="1751"/>
      <c r="J454" s="1751"/>
      <c r="K454" s="1751"/>
      <c r="L454" s="1751"/>
      <c r="M454" s="1751"/>
      <c r="N454" s="1751"/>
      <c r="O454" s="1751"/>
      <c r="S454" s="1938"/>
    </row>
    <row r="455" spans="5:19" x14ac:dyDescent="0.2">
      <c r="E455" s="1751"/>
      <c r="F455" s="1751"/>
      <c r="G455" s="1751"/>
      <c r="H455" s="1751"/>
      <c r="I455" s="1751"/>
      <c r="J455" s="1751"/>
      <c r="K455" s="1751"/>
      <c r="L455" s="1751"/>
      <c r="M455" s="1751"/>
      <c r="N455" s="1751"/>
      <c r="O455" s="1751"/>
      <c r="S455" s="1938"/>
    </row>
    <row r="456" spans="5:19" x14ac:dyDescent="0.2">
      <c r="E456" s="1751"/>
      <c r="F456" s="1751"/>
      <c r="G456" s="1751"/>
      <c r="H456" s="1751"/>
      <c r="I456" s="1751"/>
      <c r="J456" s="1751"/>
      <c r="K456" s="1751"/>
      <c r="L456" s="1751"/>
      <c r="M456" s="1751"/>
      <c r="N456" s="1751"/>
      <c r="O456" s="1751"/>
      <c r="S456" s="1938"/>
    </row>
    <row r="457" spans="5:19" x14ac:dyDescent="0.2">
      <c r="E457" s="1751"/>
      <c r="F457" s="1751"/>
      <c r="G457" s="1751"/>
      <c r="H457" s="1751"/>
      <c r="I457" s="1751"/>
      <c r="J457" s="1751"/>
      <c r="K457" s="1751"/>
      <c r="L457" s="1751"/>
      <c r="M457" s="1751"/>
      <c r="N457" s="1751"/>
      <c r="O457" s="1751"/>
      <c r="S457" s="1938"/>
    </row>
    <row r="458" spans="5:19" x14ac:dyDescent="0.2">
      <c r="E458" s="1751"/>
      <c r="F458" s="1751"/>
      <c r="G458" s="1751"/>
      <c r="H458" s="1751"/>
      <c r="I458" s="1751"/>
      <c r="J458" s="1751"/>
      <c r="K458" s="1751"/>
      <c r="L458" s="1751"/>
      <c r="M458" s="1751"/>
      <c r="N458" s="1751"/>
      <c r="O458" s="1751"/>
      <c r="S458" s="1938"/>
    </row>
    <row r="459" spans="5:19" x14ac:dyDescent="0.2">
      <c r="E459" s="1751"/>
      <c r="F459" s="1751"/>
      <c r="G459" s="1751"/>
      <c r="H459" s="1751"/>
      <c r="I459" s="1751"/>
      <c r="J459" s="1751"/>
      <c r="K459" s="1751"/>
      <c r="L459" s="1751"/>
      <c r="M459" s="1751"/>
      <c r="N459" s="1751"/>
      <c r="O459" s="1751"/>
      <c r="S459" s="1938"/>
    </row>
    <row r="460" spans="5:19" x14ac:dyDescent="0.2">
      <c r="E460" s="1751"/>
      <c r="F460" s="1751"/>
      <c r="G460" s="1751"/>
      <c r="H460" s="1751"/>
      <c r="I460" s="1751"/>
      <c r="J460" s="1751"/>
      <c r="K460" s="1751"/>
      <c r="L460" s="1751"/>
      <c r="M460" s="1751"/>
      <c r="N460" s="1751"/>
      <c r="O460" s="1751"/>
      <c r="S460" s="1938"/>
    </row>
    <row r="461" spans="5:19" x14ac:dyDescent="0.2">
      <c r="E461" s="1751"/>
      <c r="F461" s="1751"/>
      <c r="G461" s="1751"/>
      <c r="H461" s="1751"/>
      <c r="I461" s="1751"/>
      <c r="J461" s="1751"/>
      <c r="K461" s="1751"/>
      <c r="L461" s="1751"/>
      <c r="M461" s="1751"/>
      <c r="N461" s="1751"/>
      <c r="O461" s="1751"/>
      <c r="S461" s="1938"/>
    </row>
    <row r="462" spans="5:19" x14ac:dyDescent="0.2">
      <c r="E462" s="1751"/>
      <c r="F462" s="1751"/>
      <c r="G462" s="1751"/>
      <c r="H462" s="1751"/>
      <c r="I462" s="1751"/>
      <c r="J462" s="1751"/>
      <c r="K462" s="1751"/>
      <c r="L462" s="1751"/>
      <c r="M462" s="1751"/>
      <c r="N462" s="1751"/>
      <c r="O462" s="1751"/>
      <c r="S462" s="1938"/>
    </row>
    <row r="463" spans="5:19" x14ac:dyDescent="0.2">
      <c r="E463" s="1751"/>
      <c r="F463" s="1751"/>
      <c r="G463" s="1751"/>
      <c r="H463" s="1751"/>
      <c r="I463" s="1751"/>
      <c r="J463" s="1751"/>
      <c r="K463" s="1751"/>
      <c r="L463" s="1751"/>
      <c r="M463" s="1751"/>
      <c r="N463" s="1751"/>
      <c r="O463" s="1751"/>
      <c r="S463" s="1938"/>
    </row>
    <row r="464" spans="5:19" x14ac:dyDescent="0.2">
      <c r="E464" s="1751"/>
      <c r="F464" s="1751"/>
      <c r="G464" s="1751"/>
      <c r="H464" s="1751"/>
      <c r="I464" s="1751"/>
      <c r="J464" s="1751"/>
      <c r="K464" s="1751"/>
      <c r="L464" s="1751"/>
      <c r="M464" s="1751"/>
      <c r="N464" s="1751"/>
      <c r="O464" s="1751"/>
      <c r="S464" s="1938"/>
    </row>
    <row r="465" spans="5:19" x14ac:dyDescent="0.2">
      <c r="E465" s="1751"/>
      <c r="F465" s="1751"/>
      <c r="G465" s="1751"/>
      <c r="H465" s="1751"/>
      <c r="I465" s="1751"/>
      <c r="J465" s="1751"/>
      <c r="K465" s="1751"/>
      <c r="L465" s="1751"/>
      <c r="M465" s="1751"/>
      <c r="N465" s="1751"/>
      <c r="O465" s="1751"/>
      <c r="S465" s="1938"/>
    </row>
    <row r="466" spans="5:19" x14ac:dyDescent="0.2">
      <c r="E466" s="1751"/>
      <c r="F466" s="1751"/>
      <c r="G466" s="1751"/>
      <c r="H466" s="1751"/>
      <c r="I466" s="1751"/>
      <c r="J466" s="1751"/>
      <c r="K466" s="1751"/>
      <c r="L466" s="1751"/>
      <c r="M466" s="1751"/>
      <c r="N466" s="1751"/>
      <c r="O466" s="1751"/>
      <c r="S466" s="1938"/>
    </row>
    <row r="467" spans="5:19" x14ac:dyDescent="0.2">
      <c r="E467" s="1751"/>
      <c r="F467" s="1751"/>
      <c r="G467" s="1751"/>
      <c r="H467" s="1751"/>
      <c r="I467" s="1751"/>
      <c r="J467" s="1751"/>
      <c r="K467" s="1751"/>
      <c r="L467" s="1751"/>
      <c r="M467" s="1751"/>
      <c r="N467" s="1751"/>
      <c r="O467" s="1751"/>
      <c r="S467" s="1938"/>
    </row>
    <row r="468" spans="5:19" x14ac:dyDescent="0.2">
      <c r="E468" s="1751"/>
      <c r="F468" s="1751"/>
      <c r="G468" s="1751"/>
      <c r="H468" s="1751"/>
      <c r="I468" s="1751"/>
      <c r="J468" s="1751"/>
      <c r="K468" s="1751"/>
      <c r="L468" s="1751"/>
      <c r="M468" s="1751"/>
      <c r="N468" s="1751"/>
      <c r="O468" s="1751"/>
      <c r="S468" s="1938"/>
    </row>
    <row r="469" spans="5:19" x14ac:dyDescent="0.2">
      <c r="E469" s="1751"/>
      <c r="F469" s="1751"/>
      <c r="G469" s="1751"/>
      <c r="H469" s="1751"/>
      <c r="I469" s="1751"/>
      <c r="J469" s="1751"/>
      <c r="K469" s="1751"/>
      <c r="L469" s="1751"/>
      <c r="M469" s="1751"/>
      <c r="N469" s="1751"/>
      <c r="O469" s="1751"/>
      <c r="S469" s="1938"/>
    </row>
    <row r="470" spans="5:19" x14ac:dyDescent="0.2">
      <c r="E470" s="1751"/>
      <c r="F470" s="1751"/>
      <c r="G470" s="1751"/>
      <c r="H470" s="1751"/>
      <c r="I470" s="1751"/>
      <c r="J470" s="1751"/>
      <c r="K470" s="1751"/>
      <c r="L470" s="1751"/>
      <c r="M470" s="1751"/>
      <c r="N470" s="1751"/>
      <c r="O470" s="1751"/>
      <c r="S470" s="1938"/>
    </row>
    <row r="471" spans="5:19" x14ac:dyDescent="0.2">
      <c r="E471" s="1751"/>
      <c r="F471" s="1751"/>
      <c r="G471" s="1751"/>
      <c r="H471" s="1751"/>
      <c r="I471" s="1751"/>
      <c r="J471" s="1751"/>
      <c r="K471" s="1751"/>
      <c r="L471" s="1751"/>
      <c r="M471" s="1751"/>
      <c r="N471" s="1751"/>
      <c r="O471" s="1751"/>
      <c r="S471" s="1938"/>
    </row>
    <row r="472" spans="5:19" x14ac:dyDescent="0.2">
      <c r="E472" s="1751"/>
      <c r="F472" s="1751"/>
      <c r="G472" s="1751"/>
      <c r="H472" s="1751"/>
      <c r="I472" s="1751"/>
      <c r="J472" s="1751"/>
      <c r="K472" s="1751"/>
      <c r="L472" s="1751"/>
      <c r="M472" s="1751"/>
      <c r="N472" s="1751"/>
      <c r="O472" s="1751"/>
      <c r="S472" s="1938"/>
    </row>
    <row r="473" spans="5:19" x14ac:dyDescent="0.2">
      <c r="E473" s="1751"/>
      <c r="F473" s="1751"/>
      <c r="G473" s="1751"/>
      <c r="H473" s="1751"/>
      <c r="I473" s="1751"/>
      <c r="J473" s="1751"/>
      <c r="K473" s="1751"/>
      <c r="L473" s="1751"/>
      <c r="M473" s="1751"/>
      <c r="N473" s="1751"/>
      <c r="O473" s="1751"/>
      <c r="S473" s="1938"/>
    </row>
    <row r="474" spans="5:19" x14ac:dyDescent="0.2">
      <c r="E474" s="1751"/>
      <c r="F474" s="1751"/>
      <c r="G474" s="1751"/>
      <c r="H474" s="1751"/>
      <c r="I474" s="1751"/>
      <c r="J474" s="1751"/>
      <c r="K474" s="1751"/>
      <c r="L474" s="1751"/>
      <c r="M474" s="1751"/>
      <c r="N474" s="1751"/>
      <c r="O474" s="1751"/>
      <c r="S474" s="1938"/>
    </row>
    <row r="475" spans="5:19" x14ac:dyDescent="0.2">
      <c r="E475" s="1751"/>
      <c r="F475" s="1751"/>
      <c r="G475" s="1751"/>
      <c r="H475" s="1751"/>
      <c r="I475" s="1751"/>
      <c r="J475" s="1751"/>
      <c r="K475" s="1751"/>
      <c r="L475" s="1751"/>
      <c r="M475" s="1751"/>
      <c r="N475" s="1751"/>
      <c r="O475" s="1751"/>
      <c r="S475" s="1938"/>
    </row>
    <row r="476" spans="5:19" x14ac:dyDescent="0.2">
      <c r="E476" s="1751"/>
      <c r="F476" s="1751"/>
      <c r="G476" s="1751"/>
      <c r="H476" s="1751"/>
      <c r="I476" s="1751"/>
      <c r="J476" s="1751"/>
      <c r="K476" s="1751"/>
      <c r="L476" s="1751"/>
      <c r="M476" s="1751"/>
      <c r="N476" s="1751"/>
      <c r="O476" s="1751"/>
      <c r="S476" s="1938"/>
    </row>
    <row r="477" spans="5:19" x14ac:dyDescent="0.2">
      <c r="E477" s="1751"/>
      <c r="F477" s="1751"/>
      <c r="G477" s="1751"/>
      <c r="H477" s="1751"/>
      <c r="I477" s="1751"/>
      <c r="J477" s="1751"/>
      <c r="K477" s="1751"/>
      <c r="L477" s="1751"/>
      <c r="M477" s="1751"/>
      <c r="N477" s="1751"/>
      <c r="O477" s="1751"/>
      <c r="S477" s="1938"/>
    </row>
    <row r="478" spans="5:19" x14ac:dyDescent="0.2">
      <c r="E478" s="1751"/>
      <c r="F478" s="1751"/>
      <c r="G478" s="1751"/>
      <c r="H478" s="1751"/>
      <c r="I478" s="1751"/>
      <c r="J478" s="1751"/>
      <c r="K478" s="1751"/>
      <c r="L478" s="1751"/>
      <c r="M478" s="1751"/>
      <c r="N478" s="1751"/>
      <c r="O478" s="1751"/>
      <c r="S478" s="1938"/>
    </row>
    <row r="479" spans="5:19" x14ac:dyDescent="0.2">
      <c r="E479" s="1751"/>
      <c r="F479" s="1751"/>
      <c r="G479" s="1751"/>
      <c r="H479" s="1751"/>
      <c r="I479" s="1751"/>
      <c r="J479" s="1751"/>
      <c r="K479" s="1751"/>
      <c r="L479" s="1751"/>
      <c r="M479" s="1751"/>
      <c r="N479" s="1751"/>
      <c r="O479" s="1751"/>
      <c r="S479" s="1938"/>
    </row>
    <row r="480" spans="5:19" x14ac:dyDescent="0.2">
      <c r="E480" s="1751"/>
      <c r="F480" s="1751"/>
      <c r="G480" s="1751"/>
      <c r="H480" s="1751"/>
      <c r="I480" s="1751"/>
      <c r="J480" s="1751"/>
      <c r="K480" s="1751"/>
      <c r="L480" s="1751"/>
      <c r="M480" s="1751"/>
      <c r="N480" s="1751"/>
      <c r="O480" s="1751"/>
      <c r="S480" s="1938"/>
    </row>
    <row r="481" spans="5:19" x14ac:dyDescent="0.2">
      <c r="E481" s="1751"/>
      <c r="F481" s="1751"/>
      <c r="G481" s="1751"/>
      <c r="H481" s="1751"/>
      <c r="I481" s="1751"/>
      <c r="J481" s="1751"/>
      <c r="K481" s="1751"/>
      <c r="L481" s="1751"/>
      <c r="M481" s="1751"/>
      <c r="N481" s="1751"/>
      <c r="O481" s="1751"/>
      <c r="S481" s="1938"/>
    </row>
    <row r="482" spans="5:19" x14ac:dyDescent="0.2">
      <c r="E482" s="1751"/>
      <c r="F482" s="1751"/>
      <c r="G482" s="1751"/>
      <c r="H482" s="1751"/>
      <c r="I482" s="1751"/>
      <c r="J482" s="1751"/>
      <c r="K482" s="1751"/>
      <c r="L482" s="1751"/>
      <c r="M482" s="1751"/>
      <c r="N482" s="1751"/>
      <c r="O482" s="1751"/>
      <c r="S482" s="1938"/>
    </row>
    <row r="483" spans="5:19" x14ac:dyDescent="0.2">
      <c r="E483" s="1751"/>
      <c r="F483" s="1751"/>
      <c r="G483" s="1751"/>
      <c r="H483" s="1751"/>
      <c r="I483" s="1751"/>
      <c r="J483" s="1751"/>
      <c r="K483" s="1751"/>
      <c r="L483" s="1751"/>
      <c r="M483" s="1751"/>
      <c r="N483" s="1751"/>
      <c r="O483" s="1751"/>
      <c r="S483" s="1938"/>
    </row>
    <row r="484" spans="5:19" x14ac:dyDescent="0.2">
      <c r="E484" s="1751"/>
      <c r="F484" s="1751"/>
      <c r="G484" s="1751"/>
      <c r="H484" s="1751"/>
      <c r="I484" s="1751"/>
      <c r="J484" s="1751"/>
      <c r="K484" s="1751"/>
      <c r="L484" s="1751"/>
      <c r="M484" s="1751"/>
      <c r="N484" s="1751"/>
      <c r="O484" s="1751"/>
      <c r="S484" s="1938"/>
    </row>
    <row r="485" spans="5:19" x14ac:dyDescent="0.2">
      <c r="E485" s="1751"/>
      <c r="F485" s="1751"/>
      <c r="G485" s="1751"/>
      <c r="H485" s="1751"/>
      <c r="I485" s="1751"/>
      <c r="J485" s="1751"/>
      <c r="K485" s="1751"/>
      <c r="L485" s="1751"/>
      <c r="M485" s="1751"/>
      <c r="N485" s="1751"/>
      <c r="O485" s="1751"/>
      <c r="S485" s="1938"/>
    </row>
    <row r="486" spans="5:19" x14ac:dyDescent="0.2">
      <c r="E486" s="1751"/>
      <c r="F486" s="1751"/>
      <c r="G486" s="1751"/>
      <c r="H486" s="1751"/>
      <c r="I486" s="1751"/>
      <c r="J486" s="1751"/>
      <c r="K486" s="1751"/>
      <c r="L486" s="1751"/>
      <c r="M486" s="1751"/>
      <c r="N486" s="1751"/>
      <c r="O486" s="1751"/>
      <c r="S486" s="1938"/>
    </row>
    <row r="487" spans="5:19" x14ac:dyDescent="0.2">
      <c r="E487" s="1751"/>
      <c r="F487" s="1751"/>
      <c r="G487" s="1751"/>
      <c r="H487" s="1751"/>
      <c r="I487" s="1751"/>
      <c r="J487" s="1751"/>
      <c r="K487" s="1751"/>
      <c r="L487" s="1751"/>
      <c r="M487" s="1751"/>
      <c r="N487" s="1751"/>
      <c r="O487" s="1751"/>
      <c r="S487" s="1938"/>
    </row>
    <row r="488" spans="5:19" x14ac:dyDescent="0.2">
      <c r="E488" s="1751"/>
      <c r="F488" s="1751"/>
      <c r="G488" s="1751"/>
      <c r="H488" s="1751"/>
      <c r="I488" s="1751"/>
      <c r="J488" s="1751"/>
      <c r="K488" s="1751"/>
      <c r="L488" s="1751"/>
      <c r="M488" s="1751"/>
      <c r="N488" s="1751"/>
      <c r="O488" s="1751"/>
      <c r="S488" s="1938"/>
    </row>
    <row r="489" spans="5:19" x14ac:dyDescent="0.2">
      <c r="E489" s="1751"/>
      <c r="F489" s="1751"/>
      <c r="G489" s="1751"/>
      <c r="H489" s="1751"/>
      <c r="I489" s="1751"/>
      <c r="J489" s="1751"/>
      <c r="K489" s="1751"/>
      <c r="L489" s="1751"/>
      <c r="M489" s="1751"/>
      <c r="N489" s="1751"/>
      <c r="O489" s="1751"/>
      <c r="S489" s="1938"/>
    </row>
    <row r="490" spans="5:19" x14ac:dyDescent="0.2">
      <c r="E490" s="1751"/>
      <c r="F490" s="1751"/>
      <c r="G490" s="1751"/>
      <c r="H490" s="1751"/>
      <c r="I490" s="1751"/>
      <c r="J490" s="1751"/>
      <c r="K490" s="1751"/>
      <c r="L490" s="1751"/>
      <c r="M490" s="1751"/>
      <c r="N490" s="1751"/>
      <c r="O490" s="1751"/>
      <c r="S490" s="1938"/>
    </row>
    <row r="491" spans="5:19" x14ac:dyDescent="0.2">
      <c r="E491" s="1751"/>
      <c r="F491" s="1751"/>
      <c r="G491" s="1751"/>
      <c r="H491" s="1751"/>
      <c r="I491" s="1751"/>
      <c r="J491" s="1751"/>
      <c r="K491" s="1751"/>
      <c r="L491" s="1751"/>
      <c r="M491" s="1751"/>
      <c r="N491" s="1751"/>
      <c r="O491" s="1751"/>
      <c r="S491" s="1938"/>
    </row>
    <row r="492" spans="5:19" x14ac:dyDescent="0.2">
      <c r="E492" s="1751"/>
      <c r="F492" s="1751"/>
      <c r="G492" s="1751"/>
      <c r="H492" s="1751"/>
      <c r="I492" s="1751"/>
      <c r="J492" s="1751"/>
      <c r="K492" s="1751"/>
      <c r="L492" s="1751"/>
      <c r="M492" s="1751"/>
      <c r="N492" s="1751"/>
      <c r="O492" s="1751"/>
      <c r="S492" s="1938"/>
    </row>
    <row r="493" spans="5:19" x14ac:dyDescent="0.2">
      <c r="E493" s="1751"/>
      <c r="F493" s="1751"/>
      <c r="G493" s="1751"/>
      <c r="H493" s="1751"/>
      <c r="I493" s="1751"/>
      <c r="J493" s="1751"/>
      <c r="K493" s="1751"/>
      <c r="L493" s="1751"/>
      <c r="M493" s="1751"/>
      <c r="N493" s="1751"/>
      <c r="O493" s="1751"/>
      <c r="S493" s="1938"/>
    </row>
    <row r="494" spans="5:19" x14ac:dyDescent="0.2">
      <c r="E494" s="1751"/>
      <c r="F494" s="1751"/>
      <c r="G494" s="1751"/>
      <c r="H494" s="1751"/>
      <c r="I494" s="1751"/>
      <c r="J494" s="1751"/>
      <c r="K494" s="1751"/>
      <c r="L494" s="1751"/>
      <c r="M494" s="1751"/>
      <c r="N494" s="1751"/>
      <c r="O494" s="1751"/>
      <c r="S494" s="1938"/>
    </row>
    <row r="495" spans="5:19" x14ac:dyDescent="0.2">
      <c r="E495" s="1751"/>
      <c r="F495" s="1751"/>
      <c r="G495" s="1751"/>
      <c r="H495" s="1751"/>
      <c r="I495" s="1751"/>
      <c r="J495" s="1751"/>
      <c r="K495" s="1751"/>
      <c r="L495" s="1751"/>
      <c r="M495" s="1751"/>
      <c r="N495" s="1751"/>
      <c r="O495" s="1751"/>
      <c r="S495" s="1938"/>
    </row>
    <row r="496" spans="5:19" x14ac:dyDescent="0.2">
      <c r="E496" s="1751"/>
      <c r="F496" s="1751"/>
      <c r="G496" s="1751"/>
      <c r="H496" s="1751"/>
      <c r="I496" s="1751"/>
      <c r="J496" s="1751"/>
      <c r="K496" s="1751"/>
      <c r="L496" s="1751"/>
      <c r="M496" s="1751"/>
      <c r="N496" s="1751"/>
      <c r="O496" s="1751"/>
      <c r="S496" s="1938"/>
    </row>
    <row r="497" spans="5:19" x14ac:dyDescent="0.2">
      <c r="E497" s="1751"/>
      <c r="F497" s="1751"/>
      <c r="G497" s="1751"/>
      <c r="H497" s="1751"/>
      <c r="I497" s="1751"/>
      <c r="J497" s="1751"/>
      <c r="K497" s="1751"/>
      <c r="L497" s="1751"/>
      <c r="M497" s="1751"/>
      <c r="N497" s="1751"/>
      <c r="O497" s="1751"/>
      <c r="S497" s="1938"/>
    </row>
    <row r="498" spans="5:19" x14ac:dyDescent="0.2">
      <c r="E498" s="1751"/>
      <c r="F498" s="1751"/>
      <c r="G498" s="1751"/>
      <c r="H498" s="1751"/>
      <c r="I498" s="1751"/>
      <c r="J498" s="1751"/>
      <c r="K498" s="1751"/>
      <c r="L498" s="1751"/>
      <c r="M498" s="1751"/>
      <c r="N498" s="1751"/>
      <c r="O498" s="1751"/>
      <c r="S498" s="1938"/>
    </row>
  </sheetData>
  <mergeCells count="56">
    <mergeCell ref="A65:A67"/>
    <mergeCell ref="S65:S67"/>
    <mergeCell ref="C66:C67"/>
    <mergeCell ref="A68:A71"/>
    <mergeCell ref="S68:S71"/>
    <mergeCell ref="C70:C71"/>
    <mergeCell ref="A54:A60"/>
    <mergeCell ref="S54:S60"/>
    <mergeCell ref="C56:C57"/>
    <mergeCell ref="C59:C60"/>
    <mergeCell ref="A61:S61"/>
    <mergeCell ref="A40:A46"/>
    <mergeCell ref="S40:S46"/>
    <mergeCell ref="C42:C43"/>
    <mergeCell ref="C45:C46"/>
    <mergeCell ref="A47:A53"/>
    <mergeCell ref="S47:S53"/>
    <mergeCell ref="C49:C50"/>
    <mergeCell ref="C52:C53"/>
    <mergeCell ref="A22:A30"/>
    <mergeCell ref="S22:S30"/>
    <mergeCell ref="C24:C27"/>
    <mergeCell ref="C29:C30"/>
    <mergeCell ref="A31:A39"/>
    <mergeCell ref="S31:S39"/>
    <mergeCell ref="C33:C36"/>
    <mergeCell ref="C38:C39"/>
    <mergeCell ref="R8:R9"/>
    <mergeCell ref="A14:A21"/>
    <mergeCell ref="S14:S21"/>
    <mergeCell ref="C15:C18"/>
    <mergeCell ref="C20:C21"/>
    <mergeCell ref="K7:K9"/>
    <mergeCell ref="M7:M9"/>
    <mergeCell ref="N7:N9"/>
    <mergeCell ref="G7:H7"/>
    <mergeCell ref="G8:G9"/>
    <mergeCell ref="H8:H9"/>
    <mergeCell ref="L7:L9"/>
    <mergeCell ref="O8:O9"/>
    <mergeCell ref="A5:S5"/>
    <mergeCell ref="A6:A9"/>
    <mergeCell ref="B6:B9"/>
    <mergeCell ref="C6:C9"/>
    <mergeCell ref="D6:H6"/>
    <mergeCell ref="I6:M6"/>
    <mergeCell ref="N6:S6"/>
    <mergeCell ref="D7:D9"/>
    <mergeCell ref="E7:E9"/>
    <mergeCell ref="F7:F9"/>
    <mergeCell ref="I7:I9"/>
    <mergeCell ref="J7:J9"/>
    <mergeCell ref="S7:S9"/>
    <mergeCell ref="P8:P9"/>
    <mergeCell ref="Q8:Q9"/>
    <mergeCell ref="O7:R7"/>
  </mergeCells>
  <printOptions horizontalCentered="1"/>
  <pageMargins left="0.23622047244094491" right="0.27559055118110237" top="0.6692913385826772" bottom="0.78740157480314965" header="0.19685039370078741" footer="0.11811023622047245"/>
  <pageSetup paperSize="9" scale="60" firstPageNumber="83" orientation="portrait" useFirstPageNumber="1" r:id="rId1"/>
  <headerFooter alignWithMargins="0">
    <oddHeader>&amp;C&amp;"Arial,Kursywa"Informacja o przebiegu wykonania budżetu Województwa Zachodniopomorskiego za I kwartał 2013 roku - załączniki
____________________________________________________________________________________________________________________________</oddHeader>
    <oddFooter>&amp;C &amp;P</oddFooter>
  </headerFooter>
  <rowBreaks count="1" manualBreakCount="1">
    <brk id="60" max="18" man="1"/>
  </rowBreaks>
  <colBreaks count="1" manualBreakCount="1"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Zakresy nazwane</vt:lpstr>
      </vt:variant>
      <vt:variant>
        <vt:i4>19</vt:i4>
      </vt:variant>
    </vt:vector>
  </HeadingPairs>
  <TitlesOfParts>
    <vt:vector size="30" baseType="lpstr">
      <vt:lpstr>zał. nr 2</vt:lpstr>
      <vt:lpstr>Drogi</vt:lpstr>
      <vt:lpstr>Polityka społeczna i rozwój prz</vt:lpstr>
      <vt:lpstr>Ochrona zdrowia</vt:lpstr>
      <vt:lpstr>Oświata</vt:lpstr>
      <vt:lpstr>Administracja</vt:lpstr>
      <vt:lpstr>Kultura</vt:lpstr>
      <vt:lpstr>Rolnictwo i Ochrona środowiska</vt:lpstr>
      <vt:lpstr>Kultura fizyczna i turystyka</vt:lpstr>
      <vt:lpstr>Planowanie przestrzenne</vt:lpstr>
      <vt:lpstr>Arkusz1</vt:lpstr>
      <vt:lpstr>Administracja!Obszar_wydruku</vt:lpstr>
      <vt:lpstr>Drogi!Obszar_wydruku</vt:lpstr>
      <vt:lpstr>Kultura!Obszar_wydruku</vt:lpstr>
      <vt:lpstr>'Kultura fizyczna i turystyka'!Obszar_wydruku</vt:lpstr>
      <vt:lpstr>'Ochrona zdrowia'!Obszar_wydruku</vt:lpstr>
      <vt:lpstr>Oświata!Obszar_wydruku</vt:lpstr>
      <vt:lpstr>'Planowanie przestrzenne'!Obszar_wydruku</vt:lpstr>
      <vt:lpstr>'Polityka społeczna i rozwój prz'!Obszar_wydruku</vt:lpstr>
      <vt:lpstr>'Rolnictwo i Ochrona środowiska'!Obszar_wydruku</vt:lpstr>
      <vt:lpstr>'zał. nr 2'!Obszar_wydruku</vt:lpstr>
      <vt:lpstr>Administracja!Tytuły_wydruku</vt:lpstr>
      <vt:lpstr>Drogi!Tytuły_wydruku</vt:lpstr>
      <vt:lpstr>Kultura!Tytuły_wydruku</vt:lpstr>
      <vt:lpstr>'Kultura fizyczna i turystyka'!Tytuły_wydruku</vt:lpstr>
      <vt:lpstr>'Ochrona zdrowia'!Tytuły_wydruku</vt:lpstr>
      <vt:lpstr>Oświata!Tytuły_wydruku</vt:lpstr>
      <vt:lpstr>'Planowanie przestrzenne'!Tytuły_wydruku</vt:lpstr>
      <vt:lpstr>'Polityka społeczna i rozwój prz'!Tytuły_wydruku</vt:lpstr>
      <vt:lpstr>'Rolnictwo i Ochrona środowiska'!Tytuły_wydruku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Magdalena Nowocień</cp:lastModifiedBy>
  <cp:lastPrinted>2013-05-17T10:26:14Z</cp:lastPrinted>
  <dcterms:created xsi:type="dcterms:W3CDTF">2013-04-19T09:23:32Z</dcterms:created>
  <dcterms:modified xsi:type="dcterms:W3CDTF">2013-05-23T11:56:31Z</dcterms:modified>
</cp:coreProperties>
</file>