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240"/>
  </bookViews>
  <sheets>
    <sheet name="zadania" sheetId="1" r:id="rId1"/>
    <sheet name="dziedziny" sheetId="2" r:id="rId2"/>
    <sheet name="Arkusz3" sheetId="3" r:id="rId3"/>
  </sheets>
  <externalReferences>
    <externalReference r:id="rId4"/>
    <externalReference r:id="rId5"/>
  </externalReferences>
  <definedNames>
    <definedName name="_xlnm._FilterDatabase" localSheetId="0" hidden="1">zadania!$A$18:$BI$528</definedName>
    <definedName name="_xlnm.Print_Area" localSheetId="0">zadania!$A$1:$L$522</definedName>
    <definedName name="_xlnm.Print_Titles" localSheetId="0">zadania!$6:$8</definedName>
  </definedNames>
  <calcPr calcId="145621"/>
</workbook>
</file>

<file path=xl/calcChain.xml><?xml version="1.0" encoding="utf-8"?>
<calcChain xmlns="http://schemas.openxmlformats.org/spreadsheetml/2006/main">
  <c r="H425" i="1" l="1"/>
  <c r="I449" i="1"/>
  <c r="H524" i="1" l="1"/>
  <c r="G525" i="1" l="1"/>
  <c r="I524" i="1"/>
  <c r="G188" i="1"/>
  <c r="H175" i="1"/>
  <c r="H177" i="1"/>
  <c r="H38" i="1"/>
  <c r="H31" i="1"/>
  <c r="H23" i="1"/>
  <c r="H18" i="1"/>
  <c r="H138" i="1"/>
  <c r="H141" i="1"/>
  <c r="H153" i="1"/>
  <c r="H158" i="1"/>
  <c r="H163" i="1"/>
  <c r="H183" i="1"/>
  <c r="H200" i="1"/>
  <c r="H188" i="1"/>
  <c r="H266" i="1"/>
  <c r="H277" i="1"/>
  <c r="J204" i="1" l="1"/>
  <c r="J203" i="1"/>
  <c r="H16" i="1" l="1"/>
  <c r="I16" i="1"/>
  <c r="G16" i="1"/>
  <c r="L13" i="1" l="1"/>
  <c r="H15" i="1"/>
  <c r="G471" i="1"/>
  <c r="I471" i="1"/>
  <c r="H471" i="1"/>
  <c r="H469" i="1"/>
  <c r="G469" i="1"/>
  <c r="G466" i="1" s="1"/>
  <c r="I469" i="1"/>
  <c r="I466" i="1" s="1"/>
  <c r="I464" i="1"/>
  <c r="I463" i="1" s="1"/>
  <c r="G464" i="1"/>
  <c r="G463" i="1" s="1"/>
  <c r="H464" i="1"/>
  <c r="H463" i="1" s="1"/>
  <c r="I460" i="1"/>
  <c r="H460" i="1"/>
  <c r="G460" i="1"/>
  <c r="I458" i="1"/>
  <c r="H458" i="1"/>
  <c r="G458" i="1"/>
  <c r="I456" i="1"/>
  <c r="H456" i="1"/>
  <c r="G456" i="1"/>
  <c r="J451" i="1"/>
  <c r="L451" i="1"/>
  <c r="H449" i="1"/>
  <c r="G449" i="1"/>
  <c r="I445" i="1"/>
  <c r="H445" i="1"/>
  <c r="G445" i="1"/>
  <c r="J448" i="1"/>
  <c r="L448" i="1"/>
  <c r="J447" i="1"/>
  <c r="L447" i="1"/>
  <c r="G524" i="1" l="1"/>
  <c r="H466" i="1"/>
  <c r="H435" i="1"/>
  <c r="I435" i="1"/>
  <c r="G435" i="1"/>
  <c r="J444" i="1"/>
  <c r="L444" i="1"/>
  <c r="J441" i="1"/>
  <c r="L441" i="1"/>
  <c r="J440" i="1"/>
  <c r="L440" i="1"/>
  <c r="I433" i="1"/>
  <c r="H433" i="1"/>
  <c r="G433" i="1"/>
  <c r="I425" i="1"/>
  <c r="G425" i="1"/>
  <c r="L432" i="1"/>
  <c r="J432" i="1"/>
  <c r="H423" i="1"/>
  <c r="I423" i="1"/>
  <c r="G423" i="1"/>
  <c r="I413" i="1"/>
  <c r="H413" i="1"/>
  <c r="G413" i="1"/>
  <c r="I415" i="1"/>
  <c r="H415" i="1"/>
  <c r="G415" i="1"/>
  <c r="I417" i="1"/>
  <c r="H417" i="1"/>
  <c r="G417" i="1"/>
  <c r="G422" i="1" l="1"/>
  <c r="H422" i="1"/>
  <c r="I422" i="1"/>
  <c r="H488" i="1"/>
  <c r="I488" i="1"/>
  <c r="G488" i="1"/>
  <c r="H477" i="1"/>
  <c r="H12" i="1" s="1"/>
  <c r="I477" i="1"/>
  <c r="I12" i="1" s="1"/>
  <c r="G477" i="1"/>
  <c r="G12" i="1" s="1"/>
  <c r="I476" i="1"/>
  <c r="G476" i="1"/>
  <c r="H521" i="1"/>
  <c r="H520" i="1" s="1"/>
  <c r="I521" i="1"/>
  <c r="G521" i="1"/>
  <c r="G520" i="1" s="1"/>
  <c r="L522" i="1"/>
  <c r="L521" i="1" s="1"/>
  <c r="L520" i="1" s="1"/>
  <c r="J522" i="1"/>
  <c r="H363" i="1"/>
  <c r="I363" i="1"/>
  <c r="G363" i="1"/>
  <c r="H518" i="1"/>
  <c r="H517" i="1" s="1"/>
  <c r="I518" i="1"/>
  <c r="I517" i="1" s="1"/>
  <c r="G518" i="1"/>
  <c r="G517" i="1" s="1"/>
  <c r="L516" i="1"/>
  <c r="J516" i="1"/>
  <c r="L515" i="1"/>
  <c r="J515" i="1"/>
  <c r="L514" i="1"/>
  <c r="J514" i="1"/>
  <c r="I513" i="1"/>
  <c r="H513" i="1"/>
  <c r="G513" i="1"/>
  <c r="H344" i="1"/>
  <c r="I344" i="1"/>
  <c r="G344" i="1"/>
  <c r="H508" i="1"/>
  <c r="H507" i="1" s="1"/>
  <c r="I508" i="1"/>
  <c r="I507" i="1" s="1"/>
  <c r="G508" i="1"/>
  <c r="G507" i="1" s="1"/>
  <c r="L500" i="1"/>
  <c r="J500" i="1"/>
  <c r="I499" i="1"/>
  <c r="H499" i="1"/>
  <c r="G499" i="1"/>
  <c r="H506" i="1"/>
  <c r="H502" i="1" s="1"/>
  <c r="H501" i="1" s="1"/>
  <c r="G501" i="1"/>
  <c r="I501" i="1"/>
  <c r="I188" i="1"/>
  <c r="L194" i="1"/>
  <c r="J194" i="1"/>
  <c r="L192" i="1"/>
  <c r="J192" i="1"/>
  <c r="L191" i="1"/>
  <c r="J191" i="1"/>
  <c r="I502" i="1"/>
  <c r="H476" i="1" l="1"/>
  <c r="H11" i="1" s="1"/>
  <c r="G474" i="1"/>
  <c r="J477" i="1"/>
  <c r="I474" i="1"/>
  <c r="J476" i="1"/>
  <c r="I520" i="1"/>
  <c r="J521" i="1"/>
  <c r="J518" i="1"/>
  <c r="L513" i="1"/>
  <c r="J513" i="1"/>
  <c r="J507" i="1"/>
  <c r="J508" i="1"/>
  <c r="J499" i="1"/>
  <c r="L499" i="1"/>
  <c r="G502" i="1"/>
  <c r="J501" i="1"/>
  <c r="J502" i="1"/>
  <c r="I88" i="1"/>
  <c r="H88" i="1"/>
  <c r="G88" i="1"/>
  <c r="I494" i="1"/>
  <c r="I493" i="1" s="1"/>
  <c r="H494" i="1"/>
  <c r="H493" i="1" s="1"/>
  <c r="G494" i="1"/>
  <c r="G493" i="1" s="1"/>
  <c r="I38" i="1"/>
  <c r="G38" i="1"/>
  <c r="H490" i="1"/>
  <c r="I490" i="1"/>
  <c r="G490" i="1"/>
  <c r="L491" i="1"/>
  <c r="J491" i="1"/>
  <c r="L489" i="1"/>
  <c r="L488" i="1" s="1"/>
  <c r="J489" i="1"/>
  <c r="H481" i="1"/>
  <c r="I481" i="1"/>
  <c r="G481" i="1"/>
  <c r="I23" i="1"/>
  <c r="G23" i="1"/>
  <c r="L28" i="1"/>
  <c r="J28" i="1"/>
  <c r="L24" i="1"/>
  <c r="J24" i="1"/>
  <c r="L473" i="1"/>
  <c r="L472" i="1"/>
  <c r="L470" i="1"/>
  <c r="L468" i="1"/>
  <c r="L465" i="1"/>
  <c r="L464" i="1" s="1"/>
  <c r="L463" i="1" s="1"/>
  <c r="L469" i="1"/>
  <c r="L467" i="1"/>
  <c r="L462" i="1"/>
  <c r="L461" i="1"/>
  <c r="L459" i="1"/>
  <c r="L458" i="1" s="1"/>
  <c r="L457" i="1"/>
  <c r="L456" i="1" s="1"/>
  <c r="L455" i="1"/>
  <c r="L454" i="1"/>
  <c r="L453" i="1"/>
  <c r="L452" i="1"/>
  <c r="L450" i="1"/>
  <c r="L446" i="1"/>
  <c r="L445" i="1" s="1"/>
  <c r="L443" i="1"/>
  <c r="L442" i="1"/>
  <c r="L439" i="1"/>
  <c r="L438" i="1"/>
  <c r="L437" i="1"/>
  <c r="L436" i="1"/>
  <c r="L434" i="1"/>
  <c r="L433" i="1" s="1"/>
  <c r="L431" i="1"/>
  <c r="L430" i="1"/>
  <c r="L429" i="1"/>
  <c r="L428" i="1"/>
  <c r="L427" i="1"/>
  <c r="L426" i="1"/>
  <c r="L424" i="1"/>
  <c r="L423" i="1" s="1"/>
  <c r="L421" i="1"/>
  <c r="L420" i="1"/>
  <c r="L419" i="1"/>
  <c r="L418" i="1"/>
  <c r="L416" i="1"/>
  <c r="L415" i="1" s="1"/>
  <c r="L414" i="1"/>
  <c r="L413" i="1" s="1"/>
  <c r="L412" i="1"/>
  <c r="L411" i="1"/>
  <c r="L410" i="1"/>
  <c r="L408" i="1"/>
  <c r="L405" i="1"/>
  <c r="L404" i="1"/>
  <c r="L403" i="1"/>
  <c r="L401" i="1"/>
  <c r="L400" i="1"/>
  <c r="L399" i="1"/>
  <c r="L398" i="1"/>
  <c r="L396" i="1"/>
  <c r="L394" i="1"/>
  <c r="L393" i="1"/>
  <c r="L392" i="1"/>
  <c r="L391" i="1"/>
  <c r="L389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7" i="1"/>
  <c r="L366" i="1"/>
  <c r="L519" i="1"/>
  <c r="L518" i="1" s="1"/>
  <c r="L517" i="1" s="1"/>
  <c r="L365" i="1"/>
  <c r="L364" i="1"/>
  <c r="L362" i="1"/>
  <c r="L360" i="1"/>
  <c r="L357" i="1"/>
  <c r="L356" i="1"/>
  <c r="L355" i="1"/>
  <c r="L353" i="1"/>
  <c r="L352" i="1"/>
  <c r="L512" i="1"/>
  <c r="L350" i="1"/>
  <c r="L347" i="1"/>
  <c r="L509" i="1"/>
  <c r="L508" i="1" s="1"/>
  <c r="L507" i="1" s="1"/>
  <c r="L346" i="1"/>
  <c r="L345" i="1"/>
  <c r="L343" i="1"/>
  <c r="L342" i="1"/>
  <c r="L341" i="1"/>
  <c r="L339" i="1"/>
  <c r="L337" i="1"/>
  <c r="L335" i="1"/>
  <c r="L333" i="1"/>
  <c r="L332" i="1"/>
  <c r="L330" i="1"/>
  <c r="L328" i="1"/>
  <c r="L326" i="1"/>
  <c r="L324" i="1"/>
  <c r="L322" i="1"/>
  <c r="L321" i="1"/>
  <c r="L320" i="1"/>
  <c r="L319" i="1"/>
  <c r="L318" i="1"/>
  <c r="L315" i="1"/>
  <c r="L314" i="1"/>
  <c r="L313" i="1"/>
  <c r="L312" i="1"/>
  <c r="L309" i="1"/>
  <c r="L308" i="1"/>
  <c r="L307" i="1"/>
  <c r="L306" i="1"/>
  <c r="L305" i="1"/>
  <c r="L304" i="1"/>
  <c r="L302" i="1"/>
  <c r="L301" i="1"/>
  <c r="L300" i="1"/>
  <c r="L298" i="1"/>
  <c r="L297" i="1"/>
  <c r="L296" i="1"/>
  <c r="L295" i="1"/>
  <c r="L294" i="1"/>
  <c r="L293" i="1"/>
  <c r="L292" i="1"/>
  <c r="L291" i="1"/>
  <c r="L290" i="1"/>
  <c r="L288" i="1"/>
  <c r="L286" i="1"/>
  <c r="L285" i="1"/>
  <c r="L283" i="1"/>
  <c r="L281" i="1"/>
  <c r="L279" i="1"/>
  <c r="L278" i="1"/>
  <c r="L275" i="1"/>
  <c r="L274" i="1"/>
  <c r="L273" i="1"/>
  <c r="L272" i="1"/>
  <c r="L271" i="1"/>
  <c r="L270" i="1"/>
  <c r="L269" i="1"/>
  <c r="L268" i="1"/>
  <c r="L267" i="1"/>
  <c r="L265" i="1"/>
  <c r="L262" i="1"/>
  <c r="L261" i="1"/>
  <c r="L258" i="1"/>
  <c r="L257" i="1"/>
  <c r="L255" i="1"/>
  <c r="L253" i="1"/>
  <c r="L251" i="1"/>
  <c r="L249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3" i="1"/>
  <c r="L232" i="1"/>
  <c r="L231" i="1"/>
  <c r="L229" i="1"/>
  <c r="L227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99" i="1"/>
  <c r="L198" i="1"/>
  <c r="L197" i="1"/>
  <c r="L196" i="1"/>
  <c r="L506" i="1"/>
  <c r="L193" i="1"/>
  <c r="L505" i="1"/>
  <c r="L504" i="1"/>
  <c r="L503" i="1"/>
  <c r="L190" i="1"/>
  <c r="L189" i="1"/>
  <c r="L186" i="1"/>
  <c r="L185" i="1"/>
  <c r="L184" i="1"/>
  <c r="L182" i="1"/>
  <c r="L498" i="1"/>
  <c r="L180" i="1"/>
  <c r="L179" i="1"/>
  <c r="L178" i="1"/>
  <c r="L176" i="1"/>
  <c r="L173" i="1"/>
  <c r="L172" i="1"/>
  <c r="L171" i="1"/>
  <c r="L170" i="1"/>
  <c r="L169" i="1"/>
  <c r="L168" i="1"/>
  <c r="L167" i="1"/>
  <c r="L166" i="1"/>
  <c r="L165" i="1"/>
  <c r="L164" i="1"/>
  <c r="L161" i="1"/>
  <c r="L160" i="1"/>
  <c r="L159" i="1"/>
  <c r="L157" i="1"/>
  <c r="L156" i="1"/>
  <c r="L155" i="1"/>
  <c r="L154" i="1"/>
  <c r="L151" i="1"/>
  <c r="L150" i="1"/>
  <c r="L149" i="1"/>
  <c r="L148" i="1"/>
  <c r="L147" i="1"/>
  <c r="L146" i="1"/>
  <c r="L145" i="1"/>
  <c r="L144" i="1"/>
  <c r="L143" i="1"/>
  <c r="L142" i="1"/>
  <c r="L140" i="1"/>
  <c r="L139" i="1"/>
  <c r="L137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495" i="1"/>
  <c r="L494" i="1" s="1"/>
  <c r="L493" i="1" s="1"/>
  <c r="L89" i="1"/>
  <c r="L88" i="1" s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2" i="1"/>
  <c r="L71" i="1"/>
  <c r="L70" i="1"/>
  <c r="L67" i="1"/>
  <c r="L66" i="1"/>
  <c r="L65" i="1"/>
  <c r="L64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7" i="1"/>
  <c r="L46" i="1"/>
  <c r="L45" i="1"/>
  <c r="L42" i="1"/>
  <c r="L41" i="1"/>
  <c r="L492" i="1"/>
  <c r="L40" i="1"/>
  <c r="L39" i="1"/>
  <c r="L37" i="1"/>
  <c r="L36" i="1"/>
  <c r="L34" i="1"/>
  <c r="L33" i="1"/>
  <c r="L30" i="1"/>
  <c r="L27" i="1"/>
  <c r="L26" i="1"/>
  <c r="L25" i="1"/>
  <c r="L487" i="1"/>
  <c r="L486" i="1"/>
  <c r="L483" i="1"/>
  <c r="L485" i="1"/>
  <c r="L484" i="1"/>
  <c r="L482" i="1"/>
  <c r="L22" i="1"/>
  <c r="L21" i="1"/>
  <c r="L19" i="1"/>
  <c r="L480" i="1"/>
  <c r="L16" i="1" l="1"/>
  <c r="H474" i="1"/>
  <c r="L435" i="1"/>
  <c r="L477" i="1"/>
  <c r="L449" i="1"/>
  <c r="L460" i="1"/>
  <c r="L471" i="1"/>
  <c r="L466" i="1" s="1"/>
  <c r="L476" i="1"/>
  <c r="L425" i="1"/>
  <c r="L417" i="1"/>
  <c r="J520" i="1"/>
  <c r="J517" i="1"/>
  <c r="L363" i="1"/>
  <c r="L344" i="1"/>
  <c r="L188" i="1"/>
  <c r="L501" i="1"/>
  <c r="L502" i="1"/>
  <c r="L481" i="1"/>
  <c r="L38" i="1"/>
  <c r="L490" i="1"/>
  <c r="J494" i="1"/>
  <c r="J493" i="1"/>
  <c r="L23" i="1"/>
  <c r="J490" i="1"/>
  <c r="J488" i="1"/>
  <c r="J481" i="1"/>
  <c r="H409" i="1"/>
  <c r="I409" i="1"/>
  <c r="G409" i="1"/>
  <c r="H407" i="1"/>
  <c r="I407" i="1"/>
  <c r="G407" i="1"/>
  <c r="H402" i="1"/>
  <c r="I402" i="1"/>
  <c r="G402" i="1"/>
  <c r="H397" i="1"/>
  <c r="I397" i="1"/>
  <c r="G397" i="1"/>
  <c r="J398" i="1"/>
  <c r="H395" i="1"/>
  <c r="I395" i="1"/>
  <c r="G395" i="1"/>
  <c r="H390" i="1"/>
  <c r="I390" i="1"/>
  <c r="G390" i="1"/>
  <c r="H388" i="1"/>
  <c r="I388" i="1"/>
  <c r="G388" i="1"/>
  <c r="H368" i="1"/>
  <c r="I368" i="1"/>
  <c r="G368" i="1"/>
  <c r="J370" i="1"/>
  <c r="J367" i="1"/>
  <c r="H361" i="1"/>
  <c r="I361" i="1"/>
  <c r="G361" i="1"/>
  <c r="H359" i="1"/>
  <c r="I359" i="1"/>
  <c r="G359" i="1"/>
  <c r="H354" i="1"/>
  <c r="I354" i="1"/>
  <c r="G354" i="1"/>
  <c r="H351" i="1"/>
  <c r="I351" i="1"/>
  <c r="G351" i="1"/>
  <c r="H511" i="1"/>
  <c r="H510" i="1" s="1"/>
  <c r="I511" i="1"/>
  <c r="I510" i="1" s="1"/>
  <c r="G511" i="1"/>
  <c r="G510" i="1" s="1"/>
  <c r="H349" i="1"/>
  <c r="I349" i="1"/>
  <c r="G349" i="1"/>
  <c r="H340" i="1"/>
  <c r="I340" i="1"/>
  <c r="G340" i="1"/>
  <c r="J342" i="1"/>
  <c r="J343" i="1"/>
  <c r="H338" i="1"/>
  <c r="I338" i="1"/>
  <c r="G338" i="1"/>
  <c r="H336" i="1"/>
  <c r="I336" i="1"/>
  <c r="G336" i="1"/>
  <c r="H334" i="1"/>
  <c r="I334" i="1"/>
  <c r="G334" i="1"/>
  <c r="H331" i="1"/>
  <c r="I331" i="1"/>
  <c r="G331" i="1"/>
  <c r="H329" i="1"/>
  <c r="I329" i="1"/>
  <c r="G329" i="1"/>
  <c r="H327" i="1"/>
  <c r="I327" i="1"/>
  <c r="G327" i="1"/>
  <c r="H325" i="1"/>
  <c r="I325" i="1"/>
  <c r="G325" i="1"/>
  <c r="H323" i="1"/>
  <c r="I323" i="1"/>
  <c r="G323" i="1"/>
  <c r="H317" i="1"/>
  <c r="I317" i="1"/>
  <c r="G317" i="1"/>
  <c r="H311" i="1"/>
  <c r="H310" i="1" s="1"/>
  <c r="I311" i="1"/>
  <c r="G311" i="1"/>
  <c r="G310" i="1" s="1"/>
  <c r="J313" i="1"/>
  <c r="L15" i="1" l="1"/>
  <c r="L11" i="1" s="1"/>
  <c r="L12" i="1"/>
  <c r="L422" i="1"/>
  <c r="I316" i="1"/>
  <c r="D14" i="2" s="1"/>
  <c r="I348" i="1"/>
  <c r="G406" i="1"/>
  <c r="H406" i="1"/>
  <c r="G316" i="1"/>
  <c r="H316" i="1"/>
  <c r="G348" i="1"/>
  <c r="H348" i="1"/>
  <c r="I406" i="1"/>
  <c r="L474" i="1"/>
  <c r="J510" i="1"/>
  <c r="L388" i="1"/>
  <c r="L395" i="1"/>
  <c r="L397" i="1"/>
  <c r="L407" i="1"/>
  <c r="L317" i="1"/>
  <c r="L325" i="1"/>
  <c r="L329" i="1"/>
  <c r="L334" i="1"/>
  <c r="L338" i="1"/>
  <c r="L511" i="1"/>
  <c r="L510" i="1" s="1"/>
  <c r="L354" i="1"/>
  <c r="G358" i="1"/>
  <c r="H358" i="1"/>
  <c r="L368" i="1"/>
  <c r="G387" i="1"/>
  <c r="H387" i="1"/>
  <c r="L311" i="1"/>
  <c r="L340" i="1"/>
  <c r="L349" i="1"/>
  <c r="L351" i="1"/>
  <c r="L359" i="1"/>
  <c r="I358" i="1"/>
  <c r="L390" i="1"/>
  <c r="L402" i="1"/>
  <c r="L409" i="1"/>
  <c r="I310" i="1"/>
  <c r="L310" i="1" s="1"/>
  <c r="L323" i="1"/>
  <c r="L327" i="1"/>
  <c r="L331" i="1"/>
  <c r="L336" i="1"/>
  <c r="L361" i="1"/>
  <c r="I387" i="1"/>
  <c r="H303" i="1"/>
  <c r="I303" i="1"/>
  <c r="G303" i="1"/>
  <c r="H299" i="1"/>
  <c r="I299" i="1"/>
  <c r="G299" i="1"/>
  <c r="J302" i="1"/>
  <c r="H289" i="1"/>
  <c r="I289" i="1"/>
  <c r="G289" i="1"/>
  <c r="C14" i="2" l="1"/>
  <c r="L358" i="1"/>
  <c r="L406" i="1"/>
  <c r="L316" i="1"/>
  <c r="L348" i="1"/>
  <c r="L387" i="1"/>
  <c r="L289" i="1"/>
  <c r="L299" i="1"/>
  <c r="L303" i="1"/>
  <c r="J297" i="1"/>
  <c r="J296" i="1"/>
  <c r="J295" i="1"/>
  <c r="J294" i="1"/>
  <c r="J293" i="1"/>
  <c r="H287" i="1"/>
  <c r="I287" i="1"/>
  <c r="G287" i="1"/>
  <c r="H284" i="1"/>
  <c r="I284" i="1"/>
  <c r="G284" i="1"/>
  <c r="H282" i="1"/>
  <c r="I282" i="1"/>
  <c r="G282" i="1"/>
  <c r="H280" i="1"/>
  <c r="I280" i="1"/>
  <c r="G280" i="1"/>
  <c r="I277" i="1"/>
  <c r="G277" i="1"/>
  <c r="I266" i="1"/>
  <c r="G266" i="1"/>
  <c r="J272" i="1"/>
  <c r="H264" i="1"/>
  <c r="I264" i="1"/>
  <c r="I263" i="1" s="1"/>
  <c r="G264" i="1"/>
  <c r="H260" i="1"/>
  <c r="H259" i="1" s="1"/>
  <c r="I260" i="1"/>
  <c r="I259" i="1" s="1"/>
  <c r="G260" i="1"/>
  <c r="G259" i="1" s="1"/>
  <c r="H256" i="1"/>
  <c r="I256" i="1"/>
  <c r="G256" i="1"/>
  <c r="H254" i="1"/>
  <c r="I254" i="1"/>
  <c r="G254" i="1"/>
  <c r="H252" i="1"/>
  <c r="I252" i="1"/>
  <c r="G252" i="1"/>
  <c r="H250" i="1"/>
  <c r="I250" i="1"/>
  <c r="G250" i="1"/>
  <c r="H248" i="1"/>
  <c r="I248" i="1"/>
  <c r="G248" i="1"/>
  <c r="I276" i="1" l="1"/>
  <c r="D13" i="2" s="1"/>
  <c r="D15" i="2"/>
  <c r="G276" i="1"/>
  <c r="H276" i="1"/>
  <c r="C13" i="2" s="1"/>
  <c r="H263" i="1"/>
  <c r="G263" i="1"/>
  <c r="L248" i="1"/>
  <c r="L252" i="1"/>
  <c r="L256" i="1"/>
  <c r="L266" i="1"/>
  <c r="L280" i="1"/>
  <c r="L284" i="1"/>
  <c r="G247" i="1"/>
  <c r="H247" i="1"/>
  <c r="L250" i="1"/>
  <c r="L254" i="1"/>
  <c r="L277" i="1"/>
  <c r="L282" i="1"/>
  <c r="L259" i="1"/>
  <c r="I247" i="1"/>
  <c r="L247" i="1" s="1"/>
  <c r="L260" i="1"/>
  <c r="L264" i="1"/>
  <c r="L287" i="1"/>
  <c r="G234" i="1"/>
  <c r="H230" i="1"/>
  <c r="I230" i="1"/>
  <c r="G230" i="1"/>
  <c r="H228" i="1"/>
  <c r="I228" i="1"/>
  <c r="G228" i="1"/>
  <c r="H226" i="1"/>
  <c r="I226" i="1"/>
  <c r="G226" i="1"/>
  <c r="G200" i="1"/>
  <c r="I200" i="1"/>
  <c r="J208" i="1"/>
  <c r="H234" i="1"/>
  <c r="I234" i="1"/>
  <c r="H195" i="1"/>
  <c r="I195" i="1"/>
  <c r="G195" i="1"/>
  <c r="I183" i="1"/>
  <c r="G183" i="1"/>
  <c r="H181" i="1"/>
  <c r="H174" i="1" s="1"/>
  <c r="I181" i="1"/>
  <c r="G181" i="1"/>
  <c r="H497" i="1"/>
  <c r="H496" i="1" s="1"/>
  <c r="I497" i="1"/>
  <c r="I496" i="1" s="1"/>
  <c r="G497" i="1"/>
  <c r="G496" i="1" s="1"/>
  <c r="I177" i="1"/>
  <c r="G177" i="1"/>
  <c r="I175" i="1"/>
  <c r="I174" i="1" s="1"/>
  <c r="G175" i="1"/>
  <c r="H162" i="1"/>
  <c r="I163" i="1"/>
  <c r="I162" i="1" s="1"/>
  <c r="G163" i="1"/>
  <c r="G162" i="1" s="1"/>
  <c r="J171" i="1"/>
  <c r="I158" i="1"/>
  <c r="G158" i="1"/>
  <c r="I153" i="1"/>
  <c r="G153" i="1"/>
  <c r="I141" i="1"/>
  <c r="G141" i="1"/>
  <c r="I138" i="1"/>
  <c r="G138" i="1"/>
  <c r="H136" i="1"/>
  <c r="I136" i="1"/>
  <c r="G136" i="1"/>
  <c r="G90" i="1"/>
  <c r="I90" i="1"/>
  <c r="H90" i="1"/>
  <c r="H74" i="1"/>
  <c r="I74" i="1"/>
  <c r="G74" i="1"/>
  <c r="J86" i="1"/>
  <c r="J85" i="1"/>
  <c r="J76" i="1"/>
  <c r="H69" i="1"/>
  <c r="H68" i="1" s="1"/>
  <c r="I69" i="1"/>
  <c r="G69" i="1"/>
  <c r="G68" i="1" s="1"/>
  <c r="H63" i="1"/>
  <c r="I63" i="1"/>
  <c r="G63" i="1"/>
  <c r="I20" i="1"/>
  <c r="L20" i="1" s="1"/>
  <c r="G187" i="1" l="1"/>
  <c r="D16" i="2"/>
  <c r="G174" i="1"/>
  <c r="L263" i="1"/>
  <c r="C15" i="2"/>
  <c r="G152" i="1"/>
  <c r="H152" i="1"/>
  <c r="C10" i="2" s="1"/>
  <c r="L276" i="1"/>
  <c r="I152" i="1"/>
  <c r="D10" i="2" s="1"/>
  <c r="J496" i="1"/>
  <c r="L163" i="1"/>
  <c r="L162" i="1" s="1"/>
  <c r="C16" i="2"/>
  <c r="L177" i="1"/>
  <c r="L181" i="1"/>
  <c r="L200" i="1"/>
  <c r="L226" i="1"/>
  <c r="L230" i="1"/>
  <c r="L63" i="1"/>
  <c r="M63" i="1" s="1"/>
  <c r="G73" i="1"/>
  <c r="H73" i="1"/>
  <c r="C8" i="2" s="1"/>
  <c r="L136" i="1"/>
  <c r="L141" i="1"/>
  <c r="L158" i="1"/>
  <c r="I68" i="1"/>
  <c r="L68" i="1" s="1"/>
  <c r="L69" i="1"/>
  <c r="I73" i="1"/>
  <c r="L74" i="1"/>
  <c r="L90" i="1"/>
  <c r="L138" i="1"/>
  <c r="L153" i="1"/>
  <c r="L175" i="1"/>
  <c r="L497" i="1"/>
  <c r="L496" i="1" s="1"/>
  <c r="L183" i="1"/>
  <c r="L195" i="1"/>
  <c r="L234" i="1"/>
  <c r="L228" i="1"/>
  <c r="H187" i="1"/>
  <c r="C9" i="2" s="1"/>
  <c r="I187" i="1"/>
  <c r="D9" i="2" s="1"/>
  <c r="H49" i="1"/>
  <c r="H48" i="1" s="1"/>
  <c r="C11" i="2" s="1"/>
  <c r="I49" i="1"/>
  <c r="G49" i="1"/>
  <c r="G48" i="1" s="1"/>
  <c r="J55" i="1"/>
  <c r="H44" i="1"/>
  <c r="H43" i="1" s="1"/>
  <c r="I44" i="1"/>
  <c r="G44" i="1"/>
  <c r="G43" i="1" s="1"/>
  <c r="J492" i="1"/>
  <c r="H29" i="1"/>
  <c r="I29" i="1"/>
  <c r="G29" i="1"/>
  <c r="H35" i="1"/>
  <c r="I35" i="1"/>
  <c r="G35" i="1"/>
  <c r="L32" i="1"/>
  <c r="I31" i="1"/>
  <c r="G31" i="1"/>
  <c r="J34" i="1"/>
  <c r="J33" i="1"/>
  <c r="J487" i="1"/>
  <c r="J486" i="1"/>
  <c r="J483" i="1"/>
  <c r="H17" i="1" l="1"/>
  <c r="L73" i="1"/>
  <c r="D8" i="2"/>
  <c r="L187" i="1"/>
  <c r="L152" i="1"/>
  <c r="L174" i="1"/>
  <c r="L29" i="1"/>
  <c r="L31" i="1"/>
  <c r="L35" i="1"/>
  <c r="I43" i="1"/>
  <c r="L43" i="1" s="1"/>
  <c r="L44" i="1"/>
  <c r="I48" i="1"/>
  <c r="L49" i="1"/>
  <c r="N477" i="1"/>
  <c r="L48" i="1" l="1"/>
  <c r="D11" i="2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0" i="1"/>
  <c r="J449" i="1"/>
  <c r="J446" i="1"/>
  <c r="J445" i="1"/>
  <c r="J443" i="1"/>
  <c r="J442" i="1"/>
  <c r="J439" i="1"/>
  <c r="J437" i="1"/>
  <c r="J436" i="1"/>
  <c r="J435" i="1"/>
  <c r="J434" i="1"/>
  <c r="J433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69" i="1"/>
  <c r="J368" i="1"/>
  <c r="J366" i="1"/>
  <c r="J519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512" i="1"/>
  <c r="J511" i="1"/>
  <c r="J350" i="1"/>
  <c r="J349" i="1"/>
  <c r="J348" i="1"/>
  <c r="J347" i="1"/>
  <c r="J509" i="1"/>
  <c r="J346" i="1"/>
  <c r="J345" i="1"/>
  <c r="J344" i="1"/>
  <c r="J341" i="1"/>
  <c r="J340" i="1"/>
  <c r="J339" i="1"/>
  <c r="J338" i="1"/>
  <c r="J337" i="1"/>
  <c r="J336" i="1"/>
  <c r="J335" i="1"/>
  <c r="J334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2" i="1"/>
  <c r="J311" i="1"/>
  <c r="J310" i="1"/>
  <c r="J309" i="1"/>
  <c r="J308" i="1"/>
  <c r="J307" i="1"/>
  <c r="J306" i="1"/>
  <c r="J305" i="1"/>
  <c r="J304" i="1"/>
  <c r="J303" i="1"/>
  <c r="J301" i="1"/>
  <c r="J300" i="1"/>
  <c r="J299" i="1"/>
  <c r="J298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1" i="1"/>
  <c r="J246" i="1"/>
  <c r="J245" i="1"/>
  <c r="J244" i="1"/>
  <c r="J243" i="1"/>
  <c r="J242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2" i="1"/>
  <c r="J221" i="1"/>
  <c r="J225" i="1"/>
  <c r="J224" i="1"/>
  <c r="J223" i="1"/>
  <c r="J220" i="1"/>
  <c r="J219" i="1"/>
  <c r="J218" i="1"/>
  <c r="J216" i="1"/>
  <c r="J217" i="1"/>
  <c r="J215" i="1"/>
  <c r="J214" i="1"/>
  <c r="J213" i="1"/>
  <c r="J212" i="1"/>
  <c r="J211" i="1"/>
  <c r="J210" i="1"/>
  <c r="J209" i="1"/>
  <c r="J207" i="1"/>
  <c r="J206" i="1"/>
  <c r="J205" i="1"/>
  <c r="J202" i="1"/>
  <c r="J201" i="1"/>
  <c r="J200" i="1"/>
  <c r="J199" i="1"/>
  <c r="J198" i="1"/>
  <c r="J197" i="1"/>
  <c r="J196" i="1"/>
  <c r="J195" i="1"/>
  <c r="J506" i="1"/>
  <c r="J193" i="1"/>
  <c r="J505" i="1"/>
  <c r="J504" i="1"/>
  <c r="J503" i="1"/>
  <c r="J189" i="1"/>
  <c r="J188" i="1"/>
  <c r="J187" i="1"/>
  <c r="J186" i="1"/>
  <c r="J185" i="1"/>
  <c r="J184" i="1"/>
  <c r="J183" i="1"/>
  <c r="J182" i="1"/>
  <c r="J181" i="1"/>
  <c r="J498" i="1"/>
  <c r="J497" i="1"/>
  <c r="J180" i="1"/>
  <c r="J179" i="1"/>
  <c r="J178" i="1"/>
  <c r="J177" i="1"/>
  <c r="J176" i="1"/>
  <c r="J175" i="1"/>
  <c r="J174" i="1"/>
  <c r="J173" i="1"/>
  <c r="J172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5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495" i="1"/>
  <c r="J89" i="1"/>
  <c r="J88" i="1"/>
  <c r="J87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2" i="1"/>
  <c r="J31" i="1"/>
  <c r="J30" i="1"/>
  <c r="J29" i="1"/>
  <c r="J27" i="1"/>
  <c r="J26" i="1"/>
  <c r="J25" i="1"/>
  <c r="J485" i="1"/>
  <c r="J484" i="1"/>
  <c r="J482" i="1"/>
  <c r="J22" i="1"/>
  <c r="J21" i="1"/>
  <c r="J20" i="1"/>
  <c r="J19" i="1"/>
  <c r="J480" i="1"/>
  <c r="J16" i="1"/>
  <c r="I18" i="1" l="1"/>
  <c r="G18" i="1"/>
  <c r="G17" i="1" s="1"/>
  <c r="H479" i="1"/>
  <c r="I479" i="1"/>
  <c r="I478" i="1" s="1"/>
  <c r="G479" i="1"/>
  <c r="G478" i="1" s="1"/>
  <c r="G526" i="1" l="1"/>
  <c r="G523" i="1" s="1"/>
  <c r="L525" i="1" s="1"/>
  <c r="G527" i="1"/>
  <c r="H526" i="1"/>
  <c r="H523" i="1" s="1"/>
  <c r="L526" i="1" s="1"/>
  <c r="H478" i="1"/>
  <c r="J478" i="1"/>
  <c r="I526" i="1"/>
  <c r="I523" i="1" s="1"/>
  <c r="L18" i="1"/>
  <c r="L479" i="1"/>
  <c r="L478" i="1" s="1"/>
  <c r="I17" i="1"/>
  <c r="D12" i="2" s="1"/>
  <c r="J479" i="1"/>
  <c r="J23" i="1"/>
  <c r="J18" i="1"/>
  <c r="J12" i="1"/>
  <c r="I527" i="1" l="1"/>
  <c r="H9" i="1"/>
  <c r="C19" i="2" s="1"/>
  <c r="C12" i="2"/>
  <c r="H527" i="1"/>
  <c r="H528" i="1" s="1"/>
  <c r="J17" i="1"/>
  <c r="L17" i="1"/>
  <c r="F8" i="2" l="1"/>
  <c r="F9" i="2"/>
  <c r="F11" i="2"/>
  <c r="F10" i="2"/>
  <c r="F14" i="2"/>
  <c r="F13" i="2"/>
  <c r="F15" i="2"/>
  <c r="F16" i="2"/>
  <c r="F12" i="2"/>
  <c r="C17" i="2"/>
  <c r="C20" i="2" s="1"/>
  <c r="D17" i="2"/>
  <c r="F17" i="2" l="1"/>
  <c r="E16" i="2"/>
  <c r="E10" i="2"/>
  <c r="E14" i="2"/>
  <c r="E8" i="2"/>
  <c r="E12" i="2"/>
  <c r="E17" i="2"/>
  <c r="E13" i="2"/>
  <c r="E9" i="2"/>
  <c r="E11" i="2"/>
  <c r="E15" i="2"/>
  <c r="G15" i="1"/>
  <c r="G11" i="1" s="1"/>
  <c r="G9" i="1" s="1"/>
  <c r="G528" i="1" s="1"/>
  <c r="J13" i="1"/>
  <c r="I15" i="1"/>
  <c r="J15" i="1" l="1"/>
  <c r="I11" i="1"/>
  <c r="J11" i="1" l="1"/>
  <c r="I9" i="1"/>
  <c r="I528" i="1" s="1"/>
  <c r="K204" i="1" l="1"/>
  <c r="D19" i="2"/>
  <c r="D20" i="2" s="1"/>
  <c r="L9" i="1"/>
  <c r="F19" i="2" s="1"/>
  <c r="F20" i="2" s="1"/>
  <c r="K448" i="1"/>
  <c r="K440" i="1"/>
  <c r="K432" i="1"/>
  <c r="K477" i="1"/>
  <c r="K522" i="1"/>
  <c r="K510" i="1"/>
  <c r="K514" i="1"/>
  <c r="K513" i="1"/>
  <c r="K518" i="1"/>
  <c r="K508" i="1"/>
  <c r="K499" i="1"/>
  <c r="K496" i="1"/>
  <c r="K191" i="1"/>
  <c r="K502" i="1"/>
  <c r="K493" i="1"/>
  <c r="K490" i="1"/>
  <c r="K488" i="1"/>
  <c r="K481" i="1"/>
  <c r="K398" i="1"/>
  <c r="K367" i="1"/>
  <c r="K342" i="1"/>
  <c r="K272" i="1"/>
  <c r="K302" i="1"/>
  <c r="K294" i="1"/>
  <c r="K295" i="1"/>
  <c r="K171" i="1"/>
  <c r="K85" i="1"/>
  <c r="K86" i="1"/>
  <c r="K55" i="1"/>
  <c r="K486" i="1"/>
  <c r="K33" i="1"/>
  <c r="K474" i="1"/>
  <c r="K9" i="1"/>
  <c r="K18" i="1"/>
  <c r="K22" i="1"/>
  <c r="K485" i="1"/>
  <c r="K29" i="1"/>
  <c r="K35" i="1"/>
  <c r="K39" i="1"/>
  <c r="K43" i="1"/>
  <c r="K47" i="1"/>
  <c r="K51" i="1"/>
  <c r="K56" i="1"/>
  <c r="K60" i="1"/>
  <c r="K64" i="1"/>
  <c r="K68" i="1"/>
  <c r="K72" i="1"/>
  <c r="K77" i="1"/>
  <c r="K81" i="1"/>
  <c r="K87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5" i="1"/>
  <c r="K179" i="1"/>
  <c r="K181" i="1"/>
  <c r="K185" i="1"/>
  <c r="K17" i="1"/>
  <c r="K19" i="1"/>
  <c r="K23" i="1"/>
  <c r="K25" i="1"/>
  <c r="K30" i="1"/>
  <c r="K36" i="1"/>
  <c r="K40" i="1"/>
  <c r="K44" i="1"/>
  <c r="K48" i="1"/>
  <c r="K451" i="1"/>
  <c r="K444" i="1"/>
  <c r="K520" i="1"/>
  <c r="K521" i="1"/>
  <c r="K515" i="1"/>
  <c r="K507" i="1"/>
  <c r="K194" i="1"/>
  <c r="K501" i="1"/>
  <c r="K491" i="1"/>
  <c r="K489" i="1"/>
  <c r="K478" i="1"/>
  <c r="K343" i="1"/>
  <c r="K296" i="1"/>
  <c r="K293" i="1"/>
  <c r="K76" i="1"/>
  <c r="K483" i="1"/>
  <c r="K487" i="1"/>
  <c r="K479" i="1"/>
  <c r="K482" i="1"/>
  <c r="K31" i="1"/>
  <c r="K41" i="1"/>
  <c r="K49" i="1"/>
  <c r="K58" i="1"/>
  <c r="K66" i="1"/>
  <c r="K74" i="1"/>
  <c r="K83" i="1"/>
  <c r="K92" i="1"/>
  <c r="K100" i="1"/>
  <c r="K108" i="1"/>
  <c r="K116" i="1"/>
  <c r="K124" i="1"/>
  <c r="K132" i="1"/>
  <c r="K140" i="1"/>
  <c r="K148" i="1"/>
  <c r="K156" i="1"/>
  <c r="K164" i="1"/>
  <c r="K173" i="1"/>
  <c r="K497" i="1"/>
  <c r="K187" i="1"/>
  <c r="K21" i="1"/>
  <c r="K27" i="1"/>
  <c r="K38" i="1"/>
  <c r="K46" i="1"/>
  <c r="K52" i="1"/>
  <c r="K57" i="1"/>
  <c r="K61" i="1"/>
  <c r="K65" i="1"/>
  <c r="K69" i="1"/>
  <c r="K73" i="1"/>
  <c r="K78" i="1"/>
  <c r="K82" i="1"/>
  <c r="K88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2" i="1"/>
  <c r="K176" i="1"/>
  <c r="K180" i="1"/>
  <c r="K182" i="1"/>
  <c r="K186" i="1"/>
  <c r="K503" i="1"/>
  <c r="K506" i="1"/>
  <c r="K198" i="1"/>
  <c r="K202" i="1"/>
  <c r="K206" i="1"/>
  <c r="K211" i="1"/>
  <c r="K215" i="1"/>
  <c r="K219" i="1"/>
  <c r="K447" i="1"/>
  <c r="K441" i="1"/>
  <c r="K476" i="1"/>
  <c r="K516" i="1"/>
  <c r="K517" i="1"/>
  <c r="K500" i="1"/>
  <c r="K192" i="1"/>
  <c r="K494" i="1"/>
  <c r="K28" i="1"/>
  <c r="K24" i="1"/>
  <c r="K370" i="1"/>
  <c r="K313" i="1"/>
  <c r="K297" i="1"/>
  <c r="K208" i="1"/>
  <c r="K492" i="1"/>
  <c r="K34" i="1"/>
  <c r="J9" i="1"/>
  <c r="K20" i="1"/>
  <c r="K26" i="1"/>
  <c r="K37" i="1"/>
  <c r="K45" i="1"/>
  <c r="K53" i="1"/>
  <c r="K62" i="1"/>
  <c r="K70" i="1"/>
  <c r="K79" i="1"/>
  <c r="K89" i="1"/>
  <c r="K96" i="1"/>
  <c r="K104" i="1"/>
  <c r="K112" i="1"/>
  <c r="K120" i="1"/>
  <c r="K128" i="1"/>
  <c r="K136" i="1"/>
  <c r="K144" i="1"/>
  <c r="K152" i="1"/>
  <c r="K160" i="1"/>
  <c r="K168" i="1"/>
  <c r="K177" i="1"/>
  <c r="K183" i="1"/>
  <c r="K480" i="1"/>
  <c r="K484" i="1"/>
  <c r="K32" i="1"/>
  <c r="K42" i="1"/>
  <c r="K50" i="1"/>
  <c r="K54" i="1"/>
  <c r="K59" i="1"/>
  <c r="K63" i="1"/>
  <c r="K67" i="1"/>
  <c r="K71" i="1"/>
  <c r="K75" i="1"/>
  <c r="K80" i="1"/>
  <c r="K84" i="1"/>
  <c r="K495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4" i="1"/>
  <c r="K178" i="1"/>
  <c r="K498" i="1"/>
  <c r="K184" i="1"/>
  <c r="K189" i="1"/>
  <c r="K505" i="1"/>
  <c r="K196" i="1"/>
  <c r="K200" i="1"/>
  <c r="K205" i="1"/>
  <c r="K209" i="1"/>
  <c r="K213" i="1"/>
  <c r="K216" i="1"/>
  <c r="K223" i="1"/>
  <c r="K222" i="1"/>
  <c r="K229" i="1"/>
  <c r="K233" i="1"/>
  <c r="K237" i="1"/>
  <c r="K242" i="1"/>
  <c r="K246" i="1"/>
  <c r="K249" i="1"/>
  <c r="K253" i="1"/>
  <c r="K257" i="1"/>
  <c r="K225" i="1"/>
  <c r="K231" i="1"/>
  <c r="K239" i="1"/>
  <c r="K247" i="1"/>
  <c r="K255" i="1"/>
  <c r="K261" i="1"/>
  <c r="K265" i="1"/>
  <c r="K269" i="1"/>
  <c r="K274" i="1"/>
  <c r="K278" i="1"/>
  <c r="K282" i="1"/>
  <c r="K286" i="1"/>
  <c r="K290" i="1"/>
  <c r="K299" i="1"/>
  <c r="K304" i="1"/>
  <c r="K308" i="1"/>
  <c r="K312" i="1"/>
  <c r="K317" i="1"/>
  <c r="K321" i="1"/>
  <c r="K325" i="1"/>
  <c r="K329" i="1"/>
  <c r="K333" i="1"/>
  <c r="K337" i="1"/>
  <c r="K341" i="1"/>
  <c r="K509" i="1"/>
  <c r="K350" i="1"/>
  <c r="K352" i="1"/>
  <c r="K356" i="1"/>
  <c r="K360" i="1"/>
  <c r="K364" i="1"/>
  <c r="K190" i="1"/>
  <c r="K193" i="1"/>
  <c r="K197" i="1"/>
  <c r="K201" i="1"/>
  <c r="K207" i="1"/>
  <c r="K212" i="1"/>
  <c r="K217" i="1"/>
  <c r="K220" i="1"/>
  <c r="K221" i="1"/>
  <c r="K228" i="1"/>
  <c r="K232" i="1"/>
  <c r="K236" i="1"/>
  <c r="K240" i="1"/>
  <c r="K245" i="1"/>
  <c r="K248" i="1"/>
  <c r="K252" i="1"/>
  <c r="K256" i="1"/>
  <c r="K260" i="1"/>
  <c r="K264" i="1"/>
  <c r="K268" i="1"/>
  <c r="K273" i="1"/>
  <c r="K277" i="1"/>
  <c r="K281" i="1"/>
  <c r="K285" i="1"/>
  <c r="K289" i="1"/>
  <c r="K298" i="1"/>
  <c r="K303" i="1"/>
  <c r="K307" i="1"/>
  <c r="K311" i="1"/>
  <c r="K316" i="1"/>
  <c r="K320" i="1"/>
  <c r="K324" i="1"/>
  <c r="K328" i="1"/>
  <c r="K332" i="1"/>
  <c r="K336" i="1"/>
  <c r="K340" i="1"/>
  <c r="K346" i="1"/>
  <c r="K349" i="1"/>
  <c r="K351" i="1"/>
  <c r="K355" i="1"/>
  <c r="K359" i="1"/>
  <c r="K363" i="1"/>
  <c r="K368" i="1"/>
  <c r="K373" i="1"/>
  <c r="K377" i="1"/>
  <c r="K381" i="1"/>
  <c r="K385" i="1"/>
  <c r="K389" i="1"/>
  <c r="K393" i="1"/>
  <c r="K397" i="1"/>
  <c r="K404" i="1"/>
  <c r="K408" i="1"/>
  <c r="K412" i="1"/>
  <c r="K416" i="1"/>
  <c r="K420" i="1"/>
  <c r="K424" i="1"/>
  <c r="K428" i="1"/>
  <c r="K433" i="1"/>
  <c r="K437" i="1"/>
  <c r="K443" i="1"/>
  <c r="K450" i="1"/>
  <c r="K455" i="1"/>
  <c r="K459" i="1"/>
  <c r="K463" i="1"/>
  <c r="K467" i="1"/>
  <c r="K471" i="1"/>
  <c r="K365" i="1"/>
  <c r="K369" i="1"/>
  <c r="K374" i="1"/>
  <c r="K378" i="1"/>
  <c r="K382" i="1"/>
  <c r="K386" i="1"/>
  <c r="K390" i="1"/>
  <c r="K394" i="1"/>
  <c r="K401" i="1"/>
  <c r="K405" i="1"/>
  <c r="K409" i="1"/>
  <c r="K413" i="1"/>
  <c r="K417" i="1"/>
  <c r="K421" i="1"/>
  <c r="K425" i="1"/>
  <c r="K429" i="1"/>
  <c r="K434" i="1"/>
  <c r="K438" i="1"/>
  <c r="K445" i="1"/>
  <c r="K452" i="1"/>
  <c r="K456" i="1"/>
  <c r="K460" i="1"/>
  <c r="K464" i="1"/>
  <c r="K468" i="1"/>
  <c r="K472" i="1"/>
  <c r="K16" i="1"/>
  <c r="K13" i="1"/>
  <c r="K227" i="1"/>
  <c r="K235" i="1"/>
  <c r="K244" i="1"/>
  <c r="K251" i="1"/>
  <c r="K259" i="1"/>
  <c r="K263" i="1"/>
  <c r="K267" i="1"/>
  <c r="K271" i="1"/>
  <c r="K276" i="1"/>
  <c r="K280" i="1"/>
  <c r="K284" i="1"/>
  <c r="K288" i="1"/>
  <c r="K292" i="1"/>
  <c r="K301" i="1"/>
  <c r="K306" i="1"/>
  <c r="K310" i="1"/>
  <c r="K315" i="1"/>
  <c r="K319" i="1"/>
  <c r="K323" i="1"/>
  <c r="K327" i="1"/>
  <c r="K331" i="1"/>
  <c r="K335" i="1"/>
  <c r="K339" i="1"/>
  <c r="K345" i="1"/>
  <c r="K348" i="1"/>
  <c r="K512" i="1"/>
  <c r="K354" i="1"/>
  <c r="K358" i="1"/>
  <c r="K362" i="1"/>
  <c r="K188" i="1"/>
  <c r="K504" i="1"/>
  <c r="K195" i="1"/>
  <c r="K199" i="1"/>
  <c r="K203" i="1"/>
  <c r="K210" i="1"/>
  <c r="K214" i="1"/>
  <c r="K218" i="1"/>
  <c r="K224" i="1"/>
  <c r="K226" i="1"/>
  <c r="K230" i="1"/>
  <c r="K234" i="1"/>
  <c r="K238" i="1"/>
  <c r="K243" i="1"/>
  <c r="K241" i="1"/>
  <c r="K250" i="1"/>
  <c r="K254" i="1"/>
  <c r="K258" i="1"/>
  <c r="K262" i="1"/>
  <c r="K266" i="1"/>
  <c r="K270" i="1"/>
  <c r="K275" i="1"/>
  <c r="K279" i="1"/>
  <c r="K283" i="1"/>
  <c r="K287" i="1"/>
  <c r="K291" i="1"/>
  <c r="K300" i="1"/>
  <c r="K305" i="1"/>
  <c r="K309" i="1"/>
  <c r="K314" i="1"/>
  <c r="K318" i="1"/>
  <c r="K322" i="1"/>
  <c r="K326" i="1"/>
  <c r="K330" i="1"/>
  <c r="K334" i="1"/>
  <c r="K338" i="1"/>
  <c r="K344" i="1"/>
  <c r="K347" i="1"/>
  <c r="K511" i="1"/>
  <c r="K353" i="1"/>
  <c r="K357" i="1"/>
  <c r="K361" i="1"/>
  <c r="K519" i="1"/>
  <c r="K371" i="1"/>
  <c r="K375" i="1"/>
  <c r="K379" i="1"/>
  <c r="K383" i="1"/>
  <c r="K387" i="1"/>
  <c r="K391" i="1"/>
  <c r="K395" i="1"/>
  <c r="K402" i="1"/>
  <c r="K406" i="1"/>
  <c r="K410" i="1"/>
  <c r="K414" i="1"/>
  <c r="K418" i="1"/>
  <c r="K422" i="1"/>
  <c r="K426" i="1"/>
  <c r="K430" i="1"/>
  <c r="K435" i="1"/>
  <c r="K439" i="1"/>
  <c r="K446" i="1"/>
  <c r="K453" i="1"/>
  <c r="K457" i="1"/>
  <c r="K461" i="1"/>
  <c r="K465" i="1"/>
  <c r="K469" i="1"/>
  <c r="K473" i="1"/>
  <c r="K366" i="1"/>
  <c r="K372" i="1"/>
  <c r="K376" i="1"/>
  <c r="K380" i="1"/>
  <c r="K384" i="1"/>
  <c r="K388" i="1"/>
  <c r="K392" i="1"/>
  <c r="K396" i="1"/>
  <c r="K403" i="1"/>
  <c r="K407" i="1"/>
  <c r="K411" i="1"/>
  <c r="K415" i="1"/>
  <c r="K419" i="1"/>
  <c r="K423" i="1"/>
  <c r="K427" i="1"/>
  <c r="K431" i="1"/>
  <c r="K436" i="1"/>
  <c r="K442" i="1"/>
  <c r="K449" i="1"/>
  <c r="K454" i="1"/>
  <c r="K458" i="1"/>
  <c r="K462" i="1"/>
  <c r="K466" i="1"/>
  <c r="K470" i="1"/>
  <c r="K12" i="1"/>
  <c r="K15" i="1"/>
  <c r="K11" i="1"/>
</calcChain>
</file>

<file path=xl/sharedStrings.xml><?xml version="1.0" encoding="utf-8"?>
<sst xmlns="http://schemas.openxmlformats.org/spreadsheetml/2006/main" count="1447" uniqueCount="548">
  <si>
    <t>010</t>
  </si>
  <si>
    <t>ROLNICTWO  I  ŁOWIECTWO</t>
  </si>
  <si>
    <t>Prace geodezyjno-urządzeniowe na potrzeby rolnictwa</t>
  </si>
  <si>
    <t>Analiza zmian w strukturze agrarnej, programowanie i koordynacja prac urządzeniowo-rolnych oraz monitorowanie zmian w sposobie użytkowania gruntów i ich bonitacji</t>
  </si>
  <si>
    <t>Zarządy melioracji i urządzeń wodnych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</si>
  <si>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</si>
  <si>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</si>
  <si>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</si>
  <si>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Zakupy inwestycyjne jednostek budżetowych</t>
  </si>
  <si>
    <t>Melioracje wodne</t>
  </si>
  <si>
    <t>Bieżące utrzymanie urządzeń melioracji wodnych</t>
  </si>
  <si>
    <t>Budowa i modernizacja urządzeń melioracji wodnych</t>
  </si>
  <si>
    <t>Grupy producentów rolnych</t>
  </si>
  <si>
    <t>Pozostałe zadania z zakresu rolnictwa</t>
  </si>
  <si>
    <t>Program Rozwoju Obszarów Wiejskich 2007-2013</t>
  </si>
  <si>
    <t>Wyłączenie z produkcji gruntów rolnych</t>
  </si>
  <si>
    <t>Pozostałe zadania w zakresie ochrony gruntów rolnych</t>
  </si>
  <si>
    <t>Ochrona gruntów rolnych</t>
  </si>
  <si>
    <t>Pozostała działalność</t>
  </si>
  <si>
    <t>Pozostałe wydatki związane z realizacją zadań WPROW</t>
  </si>
  <si>
    <t>Programy z zakresu rolnictwa</t>
  </si>
  <si>
    <t>Pozostałe zadania z zakresu łowiectwa</t>
  </si>
  <si>
    <t>050</t>
  </si>
  <si>
    <t>Program Operacyjny Zrównoważony rozwój sektora rybołówstwa i nadbrzeżnych obszarów rybackich 2007-2013</t>
  </si>
  <si>
    <t>150</t>
  </si>
  <si>
    <t>PRZETWÓRSTWO  PRZEMYSŁOWE</t>
  </si>
  <si>
    <t>Rozwój przedsiębiorczości</t>
  </si>
  <si>
    <t>Oś  I  RPO</t>
  </si>
  <si>
    <t>Dotacje inwestycyjne w ramach  Osi  I  RPO</t>
  </si>
  <si>
    <t>Zwroty dotacji i płatności inwestycyjnych</t>
  </si>
  <si>
    <t>Zwroty dotacji  wraz odsetkami i pozostałymi kosztami</t>
  </si>
  <si>
    <t>Polityka promocji innowacyjności w województwa zachodniopomorskim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</si>
  <si>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</si>
  <si>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</si>
  <si>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</si>
  <si>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Zadania w zakresie rozwoju przedsiębiorczości</t>
  </si>
  <si>
    <t>Finansowanie wydatków niekwalifikowanych w ramach ZPORR realizowanych przez ZARR w Szczecinie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</si>
  <si>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</si>
  <si>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</si>
  <si>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</si>
  <si>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400</t>
  </si>
  <si>
    <t>Dotacje inwestycyjne w ramach  Osi  IV  RPO</t>
  </si>
  <si>
    <t>Upowszechnianie oraz promocja zagadnień energetycznych poprzez dostarczanie wiedzy na temat racjonalnego wykorzystania energii i odnawialnych źródeł energii</t>
  </si>
  <si>
    <t>600</t>
  </si>
  <si>
    <t>TRANSPORT  I  ŁĄCZNOŚĆ</t>
  </si>
  <si>
    <t>Krajowe pasażerskie przewozy kolejowe</t>
  </si>
  <si>
    <t>Dofinansowanie kolejowych przewozów pasażerskich</t>
  </si>
  <si>
    <t>Studium wykonalności na zakup elektrycznych zespołów trakcyjnych</t>
  </si>
  <si>
    <t>Podatek VAT od zakupionego taboru kolejowego</t>
  </si>
  <si>
    <t>Naprawa pojazdów szynowych w zakresie nie objętym ubezpieczeniem casco</t>
  </si>
  <si>
    <t>Naprawa rewizyjna elektrycznych zespołów trakcyjnych</t>
  </si>
  <si>
    <t>Ubezpieczenie taboru kolejowego</t>
  </si>
  <si>
    <t>Usługi telekomunikacyjne dla kart SIM w pojazdach szynowych</t>
  </si>
  <si>
    <t>Podatek VAT od dzierżawy szynobusów</t>
  </si>
  <si>
    <t>Krajowe pasażerskie przewozy autobusowe</t>
  </si>
  <si>
    <t>Dotacje dla firm wykonujących pasażerskie regionalne przewozy autobusowe - rekompensata ustawowych ulg i zwolnień w opłatach za przewóz</t>
  </si>
  <si>
    <t>Drogi publiczne wojewódzkie</t>
  </si>
  <si>
    <t>Bieżące utrzymanie Zachodniopomorskiego Zarządu Dróg Wojewódzkich w Koszalinie</t>
  </si>
  <si>
    <t>Bieżące utrzymanie dróg</t>
  </si>
  <si>
    <t>Zimowe utrzymanie dróg</t>
  </si>
  <si>
    <t>Obsługa i utrzymanie mostów zwodzonych i mostu granicznego</t>
  </si>
  <si>
    <t>Bieżące utrzymanie obiektów inżynierskich</t>
  </si>
  <si>
    <t>Przebudowa dróg (ZZDW w Koszalinie)</t>
  </si>
  <si>
    <t>Przebudowa mostów (ZZDW w Koszalinie)</t>
  </si>
  <si>
    <t>Przebudowa zaplecza (ZZDW w Koszalinie)</t>
  </si>
  <si>
    <t>Wykup gruntu pod inwestycje drogowe</t>
  </si>
  <si>
    <t>Zakup sprzętu niezbędnego w pracach budowlanych i modernizacyjnych na drogach wojewódzkich</t>
  </si>
  <si>
    <t>Zakup nieruchomości pod Obwód Drogowy w Bobolicach</t>
  </si>
  <si>
    <t>Infrastruktura portowa</t>
  </si>
  <si>
    <t>Program wojewódzki pn. "Strategia Rozwoju Gospodarki Morskiej w Województwie Zachodniopomorskim"</t>
  </si>
  <si>
    <t>Zadania w zakresie telekomunikacji</t>
  </si>
  <si>
    <t>Przeciwdziałanie wykluczeniu cyfrowemu</t>
  </si>
  <si>
    <t>Program wojewódzki pn."Strategia rozwoju sektora transportu Woj. Zachodniopomorskiego"</t>
  </si>
  <si>
    <t>Środkowoeuropejski Korytarz Transportowy (CETC) - badania, analizy merytoryczne, prowadzenie i obsługa organizacyjna Sekretariatu Technicznego</t>
  </si>
  <si>
    <t>Współfinansowanie wyceny wartości udzialów Spółki z o.o. "Port Lotniczy Szczecin - Goleniów"</t>
  </si>
  <si>
    <t>Udział w Stowarzyszeniu Gmin, Powiatów i Województw "Droga S11"</t>
  </si>
  <si>
    <t>Opracowanie analizy dotyczącej powołania spółki kolejowej</t>
  </si>
  <si>
    <t>Ekspertyzy do zachodniego drogowego obejścia m. Szczecina</t>
  </si>
  <si>
    <t>Rozpatrywanie skarg dot. badań psychologicznych i lekarskich kierowców</t>
  </si>
  <si>
    <t>630</t>
  </si>
  <si>
    <t>TURYSTYKA</t>
  </si>
  <si>
    <t>Zadania w zakresie upowszechniania turystyki</t>
  </si>
  <si>
    <t>Promocja turystyki oraz działania związane z rozwojem markowych produktów turystycznych</t>
  </si>
  <si>
    <t>Zachodniopomorska Regionalna Organizacja Turystyczna</t>
  </si>
  <si>
    <t>Dotacje inwestycyjne w ramach  Osi  V  RPO</t>
  </si>
  <si>
    <t>Promocja potencjału turystycznego Województwa Zachodniopomorskiego na rynku krajowym i zagranicznym</t>
  </si>
  <si>
    <t>Wydatki związane z turystyką</t>
  </si>
  <si>
    <t>700</t>
  </si>
  <si>
    <t>GOSPODARKA  MIESZKANIOWA</t>
  </si>
  <si>
    <t>Gospodarka gruntami i nieruchomościami</t>
  </si>
  <si>
    <t>Administrowanie i zarządzanie nieruchomościami użytkowymi należącymi do zasobu Województwa</t>
  </si>
  <si>
    <t>Remonty w wojewódzkim zasobie nieruchomości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</si>
  <si>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</si>
  <si>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</si>
  <si>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</si>
  <si>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>Regulowanie stanu prawnego nieruchomości należących do zasobu województwa, w szczególności nieruchomości będących w zarządzie jednostek</t>
  </si>
  <si>
    <t>710</t>
  </si>
  <si>
    <t>DZIAŁALNOŚĆ  USŁUGOWA</t>
  </si>
  <si>
    <t>Biura planowania przestrzennego</t>
  </si>
  <si>
    <t>Bieżące utrzymanie Regionalnego Biura Gospodarki Przestrzennej Województwa Zachodniopomorskiego w Szczecinie</t>
  </si>
  <si>
    <t>Plany zagospodarowania przestrzennego</t>
  </si>
  <si>
    <t>Pozostałe zadania w zakresie zagospodarowania przestrzennego województwa</t>
  </si>
  <si>
    <t>Wojewódzka Komisja Urbanistyczno - Architektoniczna</t>
  </si>
  <si>
    <t>Zakupy inwestycyjne Urzędu Marszałkowskiego</t>
  </si>
  <si>
    <t>Prace geologiczne (nieinwestycyjne)</t>
  </si>
  <si>
    <t>Pozostałe zadania związane z pracami geologicznymi</t>
  </si>
  <si>
    <t>Prace geodezyjne i kartograficzne (nieinwestycyjne)</t>
  </si>
  <si>
    <t>Zlecanie wykonania i udostępnianie map topograficznych i tematycznych opracowań numerycznych, prowadzenie wojewódzkich baz danych oraz standardowych opracowań kartograficznych</t>
  </si>
  <si>
    <t>Pozostałe zadania w zakresie rozwoju regionalnego</t>
  </si>
  <si>
    <t>Diagnoza i strategia do porozumienia "Polska Zachodnia"</t>
  </si>
  <si>
    <t>Regionalny Program Operacyjny Województwa Zachodniopomorskiego na lata 2014-2020</t>
  </si>
  <si>
    <t>750</t>
  </si>
  <si>
    <t>ADMINISTRACJA  PUBLICZNA</t>
  </si>
  <si>
    <t>Urzędy wojewódzkie</t>
  </si>
  <si>
    <t>Kontrola podmiotów wykonujących badania psychologiczne kierowców - dofinansowanie zadań zleconych</t>
  </si>
  <si>
    <t>Kontrola badań lekarskich, dokumentacji badań i wydawanych orzeczeń dla osób kierujących pojazdami</t>
  </si>
  <si>
    <t>Wynagrodzenia osobowe pracowników oraz dodatkowe wynagrodzenie roczne</t>
  </si>
  <si>
    <t>Pochodne od wynagrodzeń</t>
  </si>
  <si>
    <t>Zakładowy fundusz świadczeń socjalnych</t>
  </si>
  <si>
    <t>Dofinansowanie zadań zleconych z zakresu administracji rządowej</t>
  </si>
  <si>
    <t>Realizacja ustawy o usługach turystycznych</t>
  </si>
  <si>
    <t>Samorządowe sejmiki województw</t>
  </si>
  <si>
    <t>Diety  radnych Sejmiku Województwa</t>
  </si>
  <si>
    <t>Wydatki na nadzwyczajne kontrole zewnętrzne zlecane przez komisje</t>
  </si>
  <si>
    <t>Obsługa sejmiku</t>
  </si>
  <si>
    <t>Obsługa posiedzeń komisji i klubów oraz reprezentacja Sejmiku</t>
  </si>
  <si>
    <t>Urzędy marszałkowskie</t>
  </si>
  <si>
    <t>Obsługa Wieloosobowego Stanowiska do Spraw  EWT</t>
  </si>
  <si>
    <t>Bieżąca organizacja pracy Urzędu</t>
  </si>
  <si>
    <t>Bieżące utrzymanie siedzib Urzędu</t>
  </si>
  <si>
    <t>Dofinansowanie nauki, szkolenia i służba przygotowawcza</t>
  </si>
  <si>
    <t>Wpłaty na  PFRON</t>
  </si>
  <si>
    <t>Koszty postępowania sądowego i prokuratorskiego</t>
  </si>
  <si>
    <t>Wydatki bieżące na utrzymanie Urzędu w zakresie infrastruktury informatycznej</t>
  </si>
  <si>
    <t>Zakupy inwestycyjne Urzędu Marszałkowskiego w zakresie infrastruktury informatycznej</t>
  </si>
  <si>
    <t>Obsługa Regionalnego Programu Operacyjnego 2007-2013</t>
  </si>
  <si>
    <t>Działalność informacyjna i kulturalna prowadzona za granicą</t>
  </si>
  <si>
    <t>Bieżąca działalność i  utrzymanie Biura Regionalnego Województwa Zachodniopomorskiego w Brukseli</t>
  </si>
  <si>
    <t>Centrum Rozwoju Zasobów Ludzkich</t>
  </si>
  <si>
    <t>Promocja jednostek samorządu terytorialnego</t>
  </si>
  <si>
    <t>Promocja województwa w zakresie rolnictwa (targi i konkursy)</t>
  </si>
  <si>
    <t>Promocja województwa i kreowanie marki regionu</t>
  </si>
  <si>
    <t>Działania i zakupy promocyjne Sejmiku Województwa</t>
  </si>
  <si>
    <t>Współpraca z Niemcami</t>
  </si>
  <si>
    <t>Współpraca z Francją</t>
  </si>
  <si>
    <t>Współpraca ze Skandynawią</t>
  </si>
  <si>
    <t>Współpraca Subregionalna Państw Morza Bałtyckiego (BSSSC)</t>
  </si>
  <si>
    <t>Pozostałe zadania w zakresie współpracy międzynarodowej</t>
  </si>
  <si>
    <t>Współpraca z organizacjami pozarządowymi</t>
  </si>
  <si>
    <t>Kształtowanie pozytywnego wizerunku Województwa w mediach</t>
  </si>
  <si>
    <t>Współpraca z samorządami, związkami i innymi podmiotami</t>
  </si>
  <si>
    <t>Pielęgnowanie polskości, wzmacnianie tożsamości regionalnej, organizacja konferencji i uroczystości patriotycznych</t>
  </si>
  <si>
    <t>Realizacja zadań z zakresu równego traktowania</t>
  </si>
  <si>
    <t>754</t>
  </si>
  <si>
    <t>BEZPIECZEŃSTWO  PUBLICZNE I OCHRONA  PRZECIWPOŻAROWA</t>
  </si>
  <si>
    <t>Komendy wojewódzkie Policji</t>
  </si>
  <si>
    <t>Wspieranie działań z zakresu bezpieczeństwa publicznego</t>
  </si>
  <si>
    <t>Komendy wojewódzkie Państwowej Straży Pożarnej</t>
  </si>
  <si>
    <t>Ochotnicze straże pożarne</t>
  </si>
  <si>
    <t>Zadania ratownictwa górskiego i wodnego</t>
  </si>
  <si>
    <t>Pozostała dzialalność</t>
  </si>
  <si>
    <t>Realizacja zadań związanych z obronnością państwa</t>
  </si>
  <si>
    <t>757</t>
  </si>
  <si>
    <t>OBSŁUGA  DŁUGU PUBLICZNEGO</t>
  </si>
  <si>
    <t>Obsługa papierów wartościowych, kredytów i pożyczek jednostek samorządu terytorialnego</t>
  </si>
  <si>
    <t>Odsetki od kredytów i pożyczek</t>
  </si>
  <si>
    <t>Prowizje i inne koszty obsługi długu</t>
  </si>
  <si>
    <t>758</t>
  </si>
  <si>
    <t>RÓŻNE  ROZLICZENIA</t>
  </si>
  <si>
    <t>Różne rozliczenia finansowe</t>
  </si>
  <si>
    <t>Prowizje i inne koszty obsługi rachunków</t>
  </si>
  <si>
    <t>Rezerwy ogólne i celowe</t>
  </si>
  <si>
    <t>Rezerwa celowa na działania restrukturyzacyjne w wojewódzkich jednostkach ochrony zdrowia</t>
  </si>
  <si>
    <t>Rezerwa celowa na udzielenie przez Zarząd Województwa poręczenia kredytów</t>
  </si>
  <si>
    <t>Rezerwa ogólna</t>
  </si>
  <si>
    <t>Rezerwa celowa na zadania z zakresu zarządzania kryzysowego</t>
  </si>
  <si>
    <t>Rezerwa celowa na zimowe utrzymanie dróg</t>
  </si>
  <si>
    <t>Rezerwa celowa na wkłady własne do projektów  realizowanych przez instytucje kultury  oraz zakup dzieł sztuki związanych m.in. z historią i kulturą Pomorza Zachodniego</t>
  </si>
  <si>
    <t>Rezerwa celowa na pokrycie wkładów własnych do zadań dofinansowywanych w ramach programu "Biblioteka+"</t>
  </si>
  <si>
    <t>Rezerwa celowa na współfinansowanie projektów realizowanych ze środków pochodzących z budżetu UE</t>
  </si>
  <si>
    <t>801</t>
  </si>
  <si>
    <t>Szkoły podstawowe specjalne</t>
  </si>
  <si>
    <t>Świadczenia z zakresu pomocy zdrowotnej dla nauczycieli (wynikające z Karty Nauczyciela)</t>
  </si>
  <si>
    <t>Działalność dydaktyczna w szkole podstawowej specjalnej</t>
  </si>
  <si>
    <t>Gimnazja specjalne</t>
  </si>
  <si>
    <t>Działalność dydaktyczna w publicznym gimnazjum specjalnym</t>
  </si>
  <si>
    <t>Licea ogólnokształcące</t>
  </si>
  <si>
    <t>Działalność dydaktyczna i wychowawcza I Liceum Ogólnokształcącego w Białym Borze</t>
  </si>
  <si>
    <t>Szkoły zawodowe</t>
  </si>
  <si>
    <t>Działalność dydaktyczna i wychowawcza ZSM w Świnoujściu</t>
  </si>
  <si>
    <t>Działalność dydaktyczna i wychowawcza WZSP w Szczecinie</t>
  </si>
  <si>
    <t>Zakłady kształcenia nauczycieli</t>
  </si>
  <si>
    <t>Działalność dydaktyczna i wychowawcza kolegium nauczycielskiego</t>
  </si>
  <si>
    <t>Dokształcanie i doskonalenie nauczycieli</t>
  </si>
  <si>
    <t>Działalność placówek dokształcania i doskonalenia nauczycieli</t>
  </si>
  <si>
    <t>Doskonalenie zawodowe nauczycieli</t>
  </si>
  <si>
    <t>Biblioteki pedagogiczne</t>
  </si>
  <si>
    <t>Gromadzenie i udostępnianie zbiorów biblioteki pedagogicznej</t>
  </si>
  <si>
    <t>Współorganizacja konkursów przedmiotowych</t>
  </si>
  <si>
    <t>Współpraca Sekretariatu ds. Młodzieży Województwa Zachodniopomorskiego z młodzieżą oraz pracownikami młodzieżowymi</t>
  </si>
  <si>
    <t>Bieżąca obsługa zadań oświatowych</t>
  </si>
  <si>
    <t>Nagrody Marszałka z okazji Dnia Edukacji Narodowej</t>
  </si>
  <si>
    <t>Wspieranie nauczania języka polskiego w szkołach położonych na terenie Brandenburgii oraz Meklemburgii Pomorza Przedniego</t>
  </si>
  <si>
    <t>803</t>
  </si>
  <si>
    <t>SZKOLNICTWO  WYŻSZE</t>
  </si>
  <si>
    <t>Dotacja celowa dla Akademii Sztuki w Szczecinie</t>
  </si>
  <si>
    <t>Dotacja celowa dla Akademii Sztuki w Szczecinie na adaptację pomieszczeń na Mediatekę</t>
  </si>
  <si>
    <t>Wsparcie prorozwojowej działalności naukowej</t>
  </si>
  <si>
    <t>851</t>
  </si>
  <si>
    <t>OCHRONA  ZDROWIA</t>
  </si>
  <si>
    <t>Szpitale ogólne</t>
  </si>
  <si>
    <t>Koszty zabezpieczenia technicznego obiektów i placu budowy inwestycji - Szpital Wojewódzki Koszalin ul. Leśna 9.</t>
  </si>
  <si>
    <t>Dotacje celowe dla placówek ochrony zdrowia na prace modernizacyjne i zakup sprzętu medycznego</t>
  </si>
  <si>
    <t>Zakłady opiekuńczo-lecznicze i pielęgnacyjno-opiekuńcze</t>
  </si>
  <si>
    <t>Szpitale uzdrowiskowe</t>
  </si>
  <si>
    <t>Lecznictwo ambulatoryjne</t>
  </si>
  <si>
    <t>Koszty likwidacji wojewódzkich zakładów opieki zdrowotnej</t>
  </si>
  <si>
    <t>Medycyna pracy</t>
  </si>
  <si>
    <t>Zakup usług zdrowotnych w zakresie medycyny pracy</t>
  </si>
  <si>
    <t>Programy polityki zdrowotnej</t>
  </si>
  <si>
    <t>Dotacje podmiotowe dla placówek ochrony zdrowia na realizację wojewódzkich programów zdrowotnych</t>
  </si>
  <si>
    <t>Zapobieganie i zwalczanie AIDS</t>
  </si>
  <si>
    <t>Zwalczanie narkomanii</t>
  </si>
  <si>
    <t>Wojewódzki Program Przeciwdziałania Uzależnieniom</t>
  </si>
  <si>
    <t>Przeciwdzialanie alkoholizmowi</t>
  </si>
  <si>
    <t>Składki na ubezpieczenie zdrowotne oraz świadczenia dla osób nieobjętych obowiązkiem ubezpieczenia zdrowotnego</t>
  </si>
  <si>
    <t>Inne zadania z zakresu ochrony zdrowia</t>
  </si>
  <si>
    <t>Rekompensaty dla członków Rad Społecznych zakładów opieki zdrowotnej</t>
  </si>
  <si>
    <t>Zadania wynikające z ustawy o ochronie zdrowia psychicznego</t>
  </si>
  <si>
    <t>Działania na rzecz profilaktyki i promocji zdrowia psychicznego</t>
  </si>
  <si>
    <t>852</t>
  </si>
  <si>
    <t>POMOC  SPOŁECZNA</t>
  </si>
  <si>
    <t>Zadania w zakresie przeciwdziałania przemocy w rodzinie</t>
  </si>
  <si>
    <t>Wojewódzki Program Przeciwdziałania Przemocy w Rodzinie</t>
  </si>
  <si>
    <t>Świadczenia rodzinne, świadczenie z funduszu alimentacyjnego oraz składki na ubezpieczenia emerytalne i rentowe z ubezpieczenia społecznego</t>
  </si>
  <si>
    <t>Realizacja świadczeń rodzinnych</t>
  </si>
  <si>
    <t>Regionalne ośrodki polityki społecznej</t>
  </si>
  <si>
    <t>Realizacja zadań publicznych poza konkursem ofert</t>
  </si>
  <si>
    <t>Zadania w zakresie polityki społecznej</t>
  </si>
  <si>
    <t>Ośrodki adopcyjno-opiekuńcze</t>
  </si>
  <si>
    <t>Bieżaca działalność Publicznego Ośrodka Adopcyjnego w Szczecinie</t>
  </si>
  <si>
    <t>Bieżaca działalność Publicznego Ośrodka Adopcyjnego w Koszalinie</t>
  </si>
  <si>
    <t>Ośrodki adopcyjne</t>
  </si>
  <si>
    <t>853</t>
  </si>
  <si>
    <t>POZOSTAŁE  ZADANIA  W  ZAKRESIE  POLITYKI SPOŁECZNEJ</t>
  </si>
  <si>
    <t>Rehabilitacja zawodowa i społeczna osób niepełnosprawnych</t>
  </si>
  <si>
    <t>Dotacja celowa na współfinansowanie kosztów działalności zakładów aktywności zawodowej</t>
  </si>
  <si>
    <t>Fundusz Gwarantowanych Świadczeń Pracowniczych</t>
  </si>
  <si>
    <t>Realizacja zadań Funduszu Gwarantowanych Świadczeń Pracowniczych</t>
  </si>
  <si>
    <t>Wojewódzkie urzędy pracy</t>
  </si>
  <si>
    <t>Wypłata świadczeń poborowym oraz obsługa służby zastępczej</t>
  </si>
  <si>
    <t>Bieżące utrzymanie i działalność Wojewódzkiego Urzędu Pracy w Szczecinie</t>
  </si>
  <si>
    <t>Priorytet VII, Działanie 7.1 w ramach PO Kapitał Ludzki</t>
  </si>
  <si>
    <t>Priorytet VI, Działanie 6.1 w ramach PO Kapitał Ludzki</t>
  </si>
  <si>
    <t>Priorytet VI, Działanie 6.3 w ramach PO Kapitał Ludzki</t>
  </si>
  <si>
    <t>Priorytet VII, Działanie 7.2 w ramach PO Kapitał Ludzki</t>
  </si>
  <si>
    <t>Priorytet VII, Działanie 7.3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</si>
  <si>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</si>
  <si>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</si>
  <si>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</si>
  <si>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</si>
  <si>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</si>
  <si>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Priorytet VII, Działanie 7.4 w ramach PO Kapitał Ludzki</t>
  </si>
  <si>
    <t>Priorytet IX, Działanie 9.6 w ramach PO Kapitał Ludzki</t>
  </si>
  <si>
    <t>854</t>
  </si>
  <si>
    <t>EDUKACYJNA  OPIEKA  WYCHOWAWCZA</t>
  </si>
  <si>
    <t>Placówki wychowania pozaszkolnego</t>
  </si>
  <si>
    <t>Edukacyjna opieka wychowawcza</t>
  </si>
  <si>
    <t>Internaty i bursy szkolne</t>
  </si>
  <si>
    <t>Prowadzenie internatu przy Zespole Kolegiów Nauczycielskich w Wałczu</t>
  </si>
  <si>
    <t>Prowadzenie internatu przy I Liceum Ogólnokształcącym w Białym Borze</t>
  </si>
  <si>
    <t>Prowadzenie internatu przy WZSP w Szczecinie</t>
  </si>
  <si>
    <t>Pomoc materialna dla uczniów</t>
  </si>
  <si>
    <t>Pomoc materialna dla uczniów i słuchaczy wojewódzkich placówek oświatowych</t>
  </si>
  <si>
    <t>900</t>
  </si>
  <si>
    <t>GOSPODARKA  KOMUNALNA  I  OCHRONA  ŚRODOWISKA</t>
  </si>
  <si>
    <t>Gospodarka ściekowa i ochrona wód</t>
  </si>
  <si>
    <t>Pozostałe zadania w zakresie ochrony środowiska</t>
  </si>
  <si>
    <t>Gospodarka odpadami</t>
  </si>
  <si>
    <t>Plan gospodarki odpadami dla Województwa Zachodniopomorskiego</t>
  </si>
  <si>
    <t>Ochrona powietrza atmosferycznego i klimatu</t>
  </si>
  <si>
    <t>Wpływy i wydatki związane z gromadzeniem środków z opłat produktowych</t>
  </si>
  <si>
    <t>Koszty egzekucyjne związane z opłatami produktowymi</t>
  </si>
  <si>
    <t>Prowadzenie monitoringu o stanie realizacji Programu Ochrony Środowiska i Planu gospodarki odpadami</t>
  </si>
  <si>
    <t>Wdrażanie Programu Ochrony Środowiska Województwa Zachodniopomorskiego</t>
  </si>
  <si>
    <t>System do weryfikacji opłat środowiskowych i zarządzania środkami finansowymi</t>
  </si>
  <si>
    <t>921</t>
  </si>
  <si>
    <t>KULTURA I  OCHRONA  DZIEDZICTWA NARODOWEGO</t>
  </si>
  <si>
    <t>Pozostałe zadania w zakresie kultury</t>
  </si>
  <si>
    <t>Teatry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</si>
  <si>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</si>
  <si>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</si>
  <si>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</si>
  <si>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Filharmonie, orkiestry, chóry i kapele</t>
  </si>
  <si>
    <t>Dofinansowanie działalności Filharmonii w Koszalinie</t>
  </si>
  <si>
    <t>Domy i ośrodki kultury, świetlice i kluby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</si>
  <si>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</si>
  <si>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</si>
  <si>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podmiotowa dla Zamku Książąt Pomorskich w Szczecinie na Zachodniopomorski Fundusz Filmowy</t>
  </si>
  <si>
    <t>Dotacja celowa dla Zamku Książąt Pomorskich w Szczecinie na Zachodniopomorski Fundusz Filmowy</t>
  </si>
  <si>
    <t>Biblioteki</t>
  </si>
  <si>
    <t>Dotacja podmiotowa dla Książnicy Pomorskiej  w Szczecinie</t>
  </si>
  <si>
    <t>Muzea</t>
  </si>
  <si>
    <t>Dotacja podmiotowa dla Muzeum Narodowego w Szczecinie</t>
  </si>
  <si>
    <t>Dotacja celowa dla Muzeum Narodowego w Szczecinie na rozbudowę kolekcji  o eksponaty związane z historią Pomorza Zachodniego oraz dzieła wybitnych przedstawicieli polskiego malarstwa</t>
  </si>
  <si>
    <t>Ośrodki ochrony i dokumentacji zabytków</t>
  </si>
  <si>
    <t>Dotacja podmiotowa dla Biura Dokumentacji Zabytków w Szczecinie</t>
  </si>
  <si>
    <t>Ochrona zabytków i opieka nad zabytkami</t>
  </si>
  <si>
    <t>Dotacje celowe na dofinansowanie prac remont. i konserw. obiektów zabytkowych</t>
  </si>
  <si>
    <t>Dotacje inwestycyjne w ramach  Osi  VI  RPO</t>
  </si>
  <si>
    <t>925</t>
  </si>
  <si>
    <t>Parki krajobrazowe</t>
  </si>
  <si>
    <t>Parki krajobrazowe - funkcjonowanie oraz realizacja ustawowych zadań związanych z parkami</t>
  </si>
  <si>
    <t>926</t>
  </si>
  <si>
    <t>KULTURA  FIZYCZNA</t>
  </si>
  <si>
    <t>Obiekty sportowe</t>
  </si>
  <si>
    <t>Zadania w zakresie kultury fizycznej</t>
  </si>
  <si>
    <t>Zadania w zakresie kultury fizycznej i sportu</t>
  </si>
  <si>
    <t>Współorganizacja imprez sportowych</t>
  </si>
  <si>
    <t>Udział w imprezach promujących region Województwa Zachodniopomorskiego</t>
  </si>
  <si>
    <t>BIEŻĄCE</t>
  </si>
  <si>
    <t>ZMiUW</t>
  </si>
  <si>
    <t>Odchylenia</t>
  </si>
  <si>
    <t>MAJĄTKOWE</t>
  </si>
  <si>
    <t>WRiR</t>
  </si>
  <si>
    <t>WPROW</t>
  </si>
  <si>
    <t>WZRPO</t>
  </si>
  <si>
    <t>WRR</t>
  </si>
  <si>
    <t>WWRPO</t>
  </si>
  <si>
    <t>WTGiP</t>
  </si>
  <si>
    <t>WUP</t>
  </si>
  <si>
    <t>WIiT</t>
  </si>
  <si>
    <t>ZZDW</t>
  </si>
  <si>
    <t>WYDATKI  NA 2012 ROK  WG  DZIEDZIN  DZIAŁALNOŚCI</t>
  </si>
  <si>
    <t>Wyszczególnienie</t>
  </si>
  <si>
    <t>Wykonanie</t>
  </si>
  <si>
    <t>Struktura</t>
  </si>
  <si>
    <t>1</t>
  </si>
  <si>
    <t>2</t>
  </si>
  <si>
    <t>5</t>
  </si>
  <si>
    <t>Transport, łączność i zaopatrzenie w energię</t>
  </si>
  <si>
    <t xml:space="preserve">Rolnictwo, rybactwo i ochrona środowiska </t>
  </si>
  <si>
    <t>Administracja i bezpieczeństwo publiczne</t>
  </si>
  <si>
    <t xml:space="preserve">Polityka społeczna i rozwój przedsiębiorczości </t>
  </si>
  <si>
    <t xml:space="preserve">Kultura, sport i turystyka </t>
  </si>
  <si>
    <t xml:space="preserve">Ochrona zdrowia i pomoc społeczna   </t>
  </si>
  <si>
    <t>Edukacja, opieka wychowawcza oraz nauka</t>
  </si>
  <si>
    <t xml:space="preserve">Rezerwa i finanse </t>
  </si>
  <si>
    <t xml:space="preserve">Gospodarka mieszkaniowa i planowanie przestrzenne </t>
  </si>
  <si>
    <t>WYSZCZEGÓLNIENIE</t>
  </si>
  <si>
    <t>3</t>
  </si>
  <si>
    <t>4</t>
  </si>
  <si>
    <t>RBGP</t>
  </si>
  <si>
    <t>BRWZ</t>
  </si>
  <si>
    <t>WWS</t>
  </si>
  <si>
    <t>01005</t>
  </si>
  <si>
    <t>01095</t>
  </si>
  <si>
    <t>01042</t>
  </si>
  <si>
    <t>01041</t>
  </si>
  <si>
    <t xml:space="preserve"> 01031</t>
  </si>
  <si>
    <t>01008</t>
  </si>
  <si>
    <t xml:space="preserve"> 01006</t>
  </si>
  <si>
    <t>05011</t>
  </si>
  <si>
    <t>75058</t>
  </si>
  <si>
    <t>75018</t>
  </si>
  <si>
    <t xml:space="preserve"> 75017</t>
  </si>
  <si>
    <t xml:space="preserve"> 75011</t>
  </si>
  <si>
    <t>71095</t>
  </si>
  <si>
    <t>71013</t>
  </si>
  <si>
    <t>71005</t>
  </si>
  <si>
    <t>71004</t>
  </si>
  <si>
    <t>71003</t>
  </si>
  <si>
    <t xml:space="preserve">  80395</t>
  </si>
  <si>
    <t xml:space="preserve"> 85149</t>
  </si>
  <si>
    <t xml:space="preserve"> 85205</t>
  </si>
  <si>
    <t>85407</t>
  </si>
  <si>
    <t>85410</t>
  </si>
  <si>
    <t>ZSS w Kołobrzegu</t>
  </si>
  <si>
    <t>I LO w Białym Borze</t>
  </si>
  <si>
    <t xml:space="preserve"> ZSM w Świnoujściu</t>
  </si>
  <si>
    <t>WZSP w Szczecinie</t>
  </si>
  <si>
    <t>ZKN w Wałczu</t>
  </si>
  <si>
    <t>ZCDN w Szczecinie</t>
  </si>
  <si>
    <t>CEN w Koszalinie</t>
  </si>
  <si>
    <t>Sds.MWZ</t>
  </si>
  <si>
    <t xml:space="preserve">  85195</t>
  </si>
  <si>
    <t>POA w Szczecinie</t>
  </si>
  <si>
    <t>POA w Koszalinie</t>
  </si>
  <si>
    <t>WYTWARZANIE I ZAOPATRYWANIE W ENERGIĘ ELEKTRYCZNĄ, 
GAZ I WODĘ</t>
  </si>
  <si>
    <t>OGRODY BOTANICZNE I ZOOLOGICZNE ORAZ NATURALNE OBSZARY I OBIEKTY CHRONIONEJ PRZYRODY</t>
  </si>
  <si>
    <t>WPF</t>
  </si>
  <si>
    <t>Program "Moje boisko Orlik 2012"</t>
  </si>
  <si>
    <t>Razem jesteśmy silni - centralne muzea pomorskie wspólnie tworzą nowoczesne wystawy promujące historię i kulturę Pomorza</t>
  </si>
  <si>
    <t>Budowa pawilonu wystawowego służącego celom Centrum Dialogu Przełomy</t>
  </si>
  <si>
    <t>Rozbudowa Muzeum Narodowego w Szczecinie - Muzeum Morskie</t>
  </si>
  <si>
    <t>Przebudowa Opery na Zamku w Szczecinie</t>
  </si>
  <si>
    <t>Zakup i budowa hali strukturalnej z przeznaczeniem na tymczasową siedzibę Opery na Zamku w Szczecinie</t>
  </si>
  <si>
    <t xml:space="preserve">Dział   </t>
  </si>
  <si>
    <t>Rozdział</t>
  </si>
  <si>
    <t>Realizator</t>
  </si>
  <si>
    <t>Nazwa zadania</t>
  </si>
  <si>
    <t>Plan wg uchwały budżetowej</t>
  </si>
  <si>
    <t>Struktura
 w % 
(kol. 8)</t>
  </si>
  <si>
    <t>WYDATKI  OGÓŁEM</t>
  </si>
  <si>
    <t>z tego:</t>
  </si>
  <si>
    <t>wydatki bieżące</t>
  </si>
  <si>
    <t>wydatki majątkowe</t>
  </si>
  <si>
    <t>I. WYDATKI  NA  REALIZACJĘ  ZADAŃ  WŁASNYCH</t>
  </si>
  <si>
    <t>Grupa  wydatków
/ ujęcie w WPF</t>
  </si>
  <si>
    <t>85395</t>
  </si>
  <si>
    <t>60013</t>
  </si>
  <si>
    <t xml:space="preserve">  60003</t>
  </si>
  <si>
    <t>60001</t>
  </si>
  <si>
    <t>15013</t>
  </si>
  <si>
    <t>PROW - Działanie 125, Schemat II</t>
  </si>
  <si>
    <t>Zabezpieczenie przeciwpowodziowe doliny rzeki Parsęty poniżej m. Osówko w tym m. Kołobrzegu Karlina i Białogardu</t>
  </si>
  <si>
    <t>Budowa niebieskiego korytarza ekologicznego wzdłuż doliny rzeki Iny i jej dopływów w ramach Instrumentu Finansowego LIFE+</t>
  </si>
  <si>
    <t>PROW 2007-2013 - Pomoc Techniczna w ramach Schematu I, II, III</t>
  </si>
  <si>
    <t>Przepławki dla ryb  w ramach PO "Zrównoważony rozwój sektora rybołówstwa i nadbrzeżnych obszarów rybackich 2007-2013"</t>
  </si>
  <si>
    <t>Rozwój obszarów zależnych od rybactwa w ramach Osi IV PO RYBY 2007-2013 - Pomoc Techniczna - zakupy inwestycyjne</t>
  </si>
  <si>
    <t>Rozwój obszarów zależnych od rybactwa w ramach Osi IV PO RYBY 2007-2013 - Pomoc Techniczna</t>
  </si>
  <si>
    <t>Projekt pn. "Rozwój sieci centrów obsługi inwestorów i eksporterów" w ramach PO Innowacyjna Gospodarka, Priorytetu VI, Działania 6.2.</t>
  </si>
  <si>
    <t>Projekt pn. "Inwestycja w wiedzę motorem rozwoju innowacyjności w regionie" w ramach Działania 8.2 PO KL</t>
  </si>
  <si>
    <t>Dokumentacje techniczne na zadania drogowe</t>
  </si>
  <si>
    <t>Przebudowa i rozbudowa przejścia drogowego przez m. Gryfino w ciągu drogi nr 120</t>
  </si>
  <si>
    <t>Przebudowa przejścia przez Połczyn Zdrój w ciągu drogi woj. Nr 163</t>
  </si>
  <si>
    <t xml:space="preserve"> Przebudowa drogi wojewódzkiej Nr 205 na odcinku Krupy - Sławno</t>
  </si>
  <si>
    <t>Budowa obejścia m. Gościno w ciągu drogi wojewódzkiej Nr 162</t>
  </si>
  <si>
    <t>Przebudowa drogi wojewódzkiej Nr 151 na odcinku Węgorzyno - Ińsko</t>
  </si>
  <si>
    <t>Budowa obejścia w m. Szczecinek w ciągu drogi wojewódzkiej Nr 172</t>
  </si>
  <si>
    <t>Przebudowa drogi wojewódzkiej Nr 114 na odcinku Trzebież - Police</t>
  </si>
  <si>
    <t>Przebudowa drogi wojewódzkiej Nr 106 na odcinku Rzewnowo - Golczewo</t>
  </si>
  <si>
    <t>Przebudowa drogi wojewódzkiej Nr 124 na odcinku Cedynia - Chojna</t>
  </si>
  <si>
    <t>Przebudowa drogi wojewódzkiej Nr 142 na odcinku Krzywnica - Lisowo</t>
  </si>
  <si>
    <t>Przebudowa drogi wojewódzkiej Nr 109 na odcinku Mrzeżyno - Trzebiatów</t>
  </si>
  <si>
    <t>Przebudowa drogi wojewódzkiej Nr 167 na odcinku Koszalin - droga 168</t>
  </si>
  <si>
    <t>Przebudowa przejścia przez Sławoborze w ciągu drogi wojewódzkiej Nr 162</t>
  </si>
  <si>
    <t>Rozbudowa przejścia drogowego przez m. Żarczyn w ciągu drogi nr 122</t>
  </si>
  <si>
    <t>Przebudowa i rozbudowa przejścia drogowego przez m. Krzywin w ciągu drogi nr 122</t>
  </si>
  <si>
    <t>Przebudowa drogi wojewódzkiej Nr 151 na odcinku Choszczno - Pełczyce</t>
  </si>
  <si>
    <t>Przebudowa i rozbudowa mostu na Odrze Zachodniej w Gryfinie w ciągu drogi woj. nr 120</t>
  </si>
  <si>
    <t>Budowa obejścia m. Choszczno w ciągu drogi woj. nr 151</t>
  </si>
  <si>
    <t>Budowa obejścia m. Dobra w ciągu drogi woj. nr 144</t>
  </si>
  <si>
    <t>Budowa obejścia m. Trzebiatów - połączenie dróg woj. nr 109 i 103</t>
  </si>
  <si>
    <t>Projekt pn. "e-Administracja i e-Turystyka w województwie zachodniopomorskim" w ramach RPO WZ działanie 3.2.</t>
  </si>
  <si>
    <t>Projekt pn."Poprawienie zewnętrznej i wewnętrznej dostępności obszaru Europy Środkowej"  w ramach działania 2.1  Programu dla Europy Środkowej</t>
  </si>
  <si>
    <t>Objęcie nowych udziałów w Spółce z o.o. "Port Lotniczy Szczecin-Goleniów"</t>
  </si>
  <si>
    <t>Studium wykonalności "Zachodniego drogowego obejścia miasta Szczecina" wraz z Raportem oddziaływania na środowisko</t>
  </si>
  <si>
    <t>Projekt pn."Rewitalizacja Europejskiego Szlaku Kulturowego na obszarze Południowego Bałtyku - Pomorska Droga Św. Jakuba" w ramach Współpracy Transgranicznej Południowy Bałtyk</t>
  </si>
  <si>
    <t>Projekt pn. "MARRIAGE - Lepsze zarządzanie mariną, konsolidacja sieci przystani i marketingu turystyki wodnej w obszarze Południowego Bałtyku</t>
  </si>
  <si>
    <t>Prace modernizacyjne i adaptacyjne w nieruchomościach należących do zasobu Województwa</t>
  </si>
  <si>
    <t>Gospodarowanie nieruchomościami należącymi do zasobu Województwa Zachodniopomorskiego</t>
  </si>
  <si>
    <t>Pomoc Techniczna w ramach Programu EWT 2007 - 2013 INTERREG IVA</t>
  </si>
  <si>
    <t>Konsolidacja Urzędu Marszałkowskiego Województwa Zachodniopomorskiego w jednej siedzibie</t>
  </si>
  <si>
    <t>Projekt pn. "Kompleksowy program wspierania kluczowych obszarów funkcjonowania i kompetencji kadr Urzędu Marszałkowskiego" w ramach PO KL</t>
  </si>
  <si>
    <t>Oś VIII, Pomoc techniczna RPO</t>
  </si>
  <si>
    <t>Zakupy inwestycyjne w ramach Osi VIII - Pomoc techniczna RPO</t>
  </si>
  <si>
    <t>Główny Punkt Informacyjny Funduszy Europejskich (GPI) przy ul. Kuśnierskiej</t>
  </si>
  <si>
    <t>Projekt pn. "Koordynacja na rzecz aktywnej Integracji" w ramach Działania 1.2, Priorytetu I PO KL</t>
  </si>
  <si>
    <t>Opracowanie projektu i modernizacja obiektu przy ul. J. Sowińskiego 68 w Szczecinie w zakresie montażu klimatyzacji</t>
  </si>
  <si>
    <t>Centrum Zabiegowe z zapleczem łóżkowym w Szpitalu Wojewódzkim w Szczecinie</t>
  </si>
  <si>
    <t>Rozbudowa cz. środkowej budynku głównego wraz z dostosowaniem oddziałów chirurgicznych do wymogów fachowo-sanitarnych w Specjalistycznym Szpitalu im. A. Sokołowskiego w Szczecinie - Zdunowie</t>
  </si>
  <si>
    <t>Rozbudowa Szpitala Dziecięcego SPSZOZ "Zdroje" - utworzenie Zachodniopomorskiego Centrum Opieki Nad Kobietą i Dzieckiem</t>
  </si>
  <si>
    <t>Priorytet X Pomoc Techniczna w ramach PO Kapitał Ludzki</t>
  </si>
  <si>
    <t>Priorytet X Pomoc Techniczna w ramach PO Kapitał Ludzki - środki w ramach ROEFS</t>
  </si>
  <si>
    <t>Projekt pn. "Z korzyścią dla regionu. Rozwój Ekonomii Społecznej" w ramach Działania 7.2 PO KL</t>
  </si>
  <si>
    <t>Projekt pn. "Zachodniopomorskie talenty - regionalny system stypendialny" w ramach Działania 9.1 PO KL</t>
  </si>
  <si>
    <t>Projekt pn. "Piramida Kompetencji" w ramach działania 6.1 PO KL</t>
  </si>
  <si>
    <t>Projekt pn. "Profesjonalne kadry - lepsze jutro" w ramach Działania 7.1 PO KL</t>
  </si>
  <si>
    <t>Likwidacja mogilników zawierających przeterminowane środki ochrony roślin znajdujących się na terenie Województwa Zachodniopomorskiego</t>
  </si>
  <si>
    <t>Modernizacja  skrzydła  północnego Zamku Książąt Pomorskich w Szczecinie</t>
  </si>
  <si>
    <t>63095</t>
  </si>
  <si>
    <t>Rozwój kadr nowoczesnej gospodarki 
i przedsiębiorczości</t>
  </si>
  <si>
    <t>Zachodniopomorskie Centrum Obsługi Inwestorów 
i Eksporterów</t>
  </si>
  <si>
    <t>Program rozwoju sektora energetycznego w Województwie Zachodniopomorskim do 2015 r. 
z częścią prognostyczną do 2030 r. i z prognozą oddziaływania na środowisko</t>
  </si>
  <si>
    <t>Badanie i analiza potrzeb przewozowych 
w publicznym transporcie zbiorowym</t>
  </si>
  <si>
    <t>Bezpieczeństwo Ruchu Drogowego (ZZDW 
w Koszalinie)</t>
  </si>
  <si>
    <t>Przebudowa mostu zwodzonego w m.Dziwnów 
w ciągu drogi nr 102</t>
  </si>
  <si>
    <t>Przebudowa drogi woj. nr 110 na odcinku Cerkwica 
- Lędzin</t>
  </si>
  <si>
    <t>Budowa obejścia m. Goleniów w ciągu drogi woj. 
nr 113</t>
  </si>
  <si>
    <t>Przebudowa drogi woj. Nr 156 na odc. Mostowo 
- Barlinek</t>
  </si>
  <si>
    <t>Przebudowa drogi woj. Nr 177 na odc. Sośnica 
- Mirosławiec</t>
  </si>
  <si>
    <t xml:space="preserve"> Przebudowa drogi woj. Nr 203 na odc. Koszalin 
- Iwięcino</t>
  </si>
  <si>
    <t>Budowa obejścia m. Trzebiatów w ciągu drogi woj. 
nr 102</t>
  </si>
  <si>
    <t>Przebudowa drogi woj. Nr 163 na odc. Czaplinek 
- Wałcz</t>
  </si>
  <si>
    <t>Przebudowa drogi woj. Nr 107 na odc. Dziwnówek 
- Kamień Pomorski</t>
  </si>
  <si>
    <t xml:space="preserve"> Przebudowa drogi woj. Nr 203 na odc. Iwięcino 
- Darłowo</t>
  </si>
  <si>
    <t>Budowa obejścia m. Darłowo w ciągu drogi woj.
nr 203</t>
  </si>
  <si>
    <t>Budowa obejścia m. Barlinek w ciągu drogi woj. 
nr 151</t>
  </si>
  <si>
    <t>RYBOŁÓWSTWO I RYBACTWO</t>
  </si>
  <si>
    <t>COIE</t>
  </si>
  <si>
    <t xml:space="preserve"> WSIiI</t>
  </si>
  <si>
    <t>WIiN</t>
  </si>
  <si>
    <t>WOŚ</t>
  </si>
  <si>
    <t>WOiRZL</t>
  </si>
  <si>
    <t>KS</t>
  </si>
  <si>
    <t>WA</t>
  </si>
  <si>
    <t>WWM</t>
  </si>
  <si>
    <t>WSIiI</t>
  </si>
  <si>
    <t>WEiS</t>
  </si>
  <si>
    <t>GM</t>
  </si>
  <si>
    <t>BG</t>
  </si>
  <si>
    <t>WKNiDN</t>
  </si>
  <si>
    <t>WZ</t>
  </si>
  <si>
    <t>ROPS</t>
  </si>
  <si>
    <t>WFiB</t>
  </si>
  <si>
    <t>BSOiBP</t>
  </si>
  <si>
    <t xml:space="preserve"> BG</t>
  </si>
  <si>
    <t>Zakup taboru kolejowego do przewozów regionalnych</t>
  </si>
  <si>
    <t>II. WYDATKI  NA  REALIZACJĘ  ZADAŃ  ZLECONYCH</t>
  </si>
  <si>
    <t>Plan wg          stanu  na 30.06.2012 r.</t>
  </si>
  <si>
    <t>Wykonanie wg stanu na 30.06.2012 r.</t>
  </si>
  <si>
    <t>Odchylenie wykonania od półrocznego planu po zmianach</t>
  </si>
  <si>
    <t>Rezerwa celowa - bieżace utrzymanie urządzeń melioracji wodnych</t>
  </si>
  <si>
    <t>Program dla Odry  2006</t>
  </si>
  <si>
    <t>Zbiornik retencyjny na rzece Dzierżęcince</t>
  </si>
  <si>
    <t>Zwroty dotacji wraz z odsetkami i pozostałymi kosztami</t>
  </si>
  <si>
    <t>Kary i odszkodowania wypłacane na rzecz osób prawnych</t>
  </si>
  <si>
    <t>Projekt pn. "Wzrost atrakcyjności inwestycyjnej Województwa Zachodniopomorskiego  - Promocja walorów inwestycyjnych WZ" realizowany w ramach RPO</t>
  </si>
  <si>
    <t>Organizacja kolejowych przewozów pasażerskich na linii Koszalin - Mielno</t>
  </si>
  <si>
    <t>Zakup i montaż systemu WiFi w pojazdach szynowych województwa</t>
  </si>
  <si>
    <t>Zakup elektrycznych zespołów trakcyjnych do przewozów regionalnych</t>
  </si>
  <si>
    <t>Adaptacja II piętra  w budynku położonym w Szczecinie przy ul. Sokołowskiego 13 - 17 na lokale mieszkalne</t>
  </si>
  <si>
    <t>Modernizacja dźwigu  osobowego w obiekcie 
przy ul. Mickiewicza 41</t>
  </si>
  <si>
    <t>Współpraca z organizacjami kombatanckimi działającymi na terenie województwa</t>
  </si>
  <si>
    <t>Wyższa Szkoła Zawodowa w Koszalinie</t>
  </si>
  <si>
    <t>Finansowanie pomocy zdrowotnej dla uczniów, którzy nie podlegają obowiązkowi ubezpieczenia zdrowotnego z innych tytułów</t>
  </si>
  <si>
    <t>ZSM w Świnoujściu</t>
  </si>
  <si>
    <t>OŚWIATA  I  WYCHOWANIE</t>
  </si>
  <si>
    <t>Dotacja celowa dla Opery na Zamku na realizację zadania pn. "Zakup sprzętu oświetleniowego dla Opery na Zamku w Szczecinie"</t>
  </si>
  <si>
    <t>Dotacja celowa dla Zamku Książąt Pomorskich na Zachodniopomorski Fundusz Filmowy</t>
  </si>
  <si>
    <t>Dotacja celowa dla Zamku Książąt Pomorskich w Szczecinie na realizację zadania pn. "Zakup talara księcia Filipa II Pobożnego"</t>
  </si>
  <si>
    <t xml:space="preserve">Dotacja podmiotowa dla Książnicy Pomorskiej  w Szczecinie na pokrycie części kosztów zorganizowania Konkursu o nagrodę im. St. Badonia dla Bibliotekarza Roku WZ za 2011 </t>
  </si>
  <si>
    <r>
      <t xml:space="preserve">Wskaźnik </t>
    </r>
    <r>
      <rPr>
        <sz val="10"/>
        <color theme="1"/>
        <rFont val="Arial Narrow"/>
        <family val="2"/>
        <charset val="238"/>
      </rPr>
      <t>wykonania planu</t>
    </r>
    <r>
      <rPr>
        <sz val="11"/>
        <color theme="1"/>
        <rFont val="Arial Narrow"/>
        <family val="2"/>
        <charset val="238"/>
      </rPr>
      <t xml:space="preserve">  
 (8:7)</t>
    </r>
  </si>
  <si>
    <t>Zabezpieczenie przeciwpowodziowe doliny rzeki Regi ze szczególnym uwzględnieniem miasta Trzebiatów w ramach PO Infrastruktura i Środowisko</t>
  </si>
  <si>
    <t>Adaptacja poddasza na potrzeby biurowe w budynku położonym w Szczecinie przy ul. Szafera 10a - WPF</t>
  </si>
  <si>
    <t>Ośrodki adopcyjne niepubliczne</t>
  </si>
  <si>
    <t>Plan po zmianach na 30.06.2012</t>
  </si>
  <si>
    <t>60003</t>
  </si>
  <si>
    <t>sumy częściowe</t>
  </si>
  <si>
    <t>suma do działów</t>
  </si>
  <si>
    <t>PT RPO</t>
  </si>
  <si>
    <t>Rozbudowa Teatru Polskiego w Szczecinie</t>
  </si>
  <si>
    <t>Dotacja celowa dla Zamku Książąt Pomorskich na  realizację zadania pn. "Organizacja przedsięwzięć kulturalnych oraz warsztatów muzycznych w ramach cyklu Music Art Master Class"</t>
  </si>
  <si>
    <t>Dotacja celowa dla Książnicy Pomorskiej  w Szczecinie na zakup sprzętu niezbędnego do usunięcia skutków awarii sieci komputerowej</t>
  </si>
  <si>
    <t>Dotacja celowa dla Muzeum Narodowego w Szczecinie na realizację zadania pn. "Współorganizacja gali wręczenia nagrody laureatowi konkursu "Zachodniopomorskie Muzealne Wydarzenie Roku 2011"</t>
  </si>
  <si>
    <t>Dotacja celowa dla Zamku Książąt Pomorskich na wymiana stolarki okiennej w skrzydle menniczym i północnym w Zamku Książąt Pomorskich w Szczecinie</t>
  </si>
  <si>
    <t xml:space="preserve">8.  WYKONANIE PLANU WYDATKÓW  BUDŻETU WOJEWÓDZTWA ZACHODNIOPOMORSKIEGO 
       ZA I PÓŁROCZE 2012 ROKU W  UKŁADZIE  ZADANIOWYM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</si>
</sst>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0.0%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4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b/>
      <sz val="19"/>
      <color theme="1"/>
      <name val="Arial Narrow"/>
      <family val="2"/>
      <charset val="238"/>
    </font>
    <font>
      <sz val="19"/>
      <color theme="1"/>
      <name val="Arial Narrow"/>
      <family val="2"/>
      <charset val="238"/>
    </font>
    <font>
      <sz val="10"/>
      <color theme="1"/>
      <name val="Arial CE"/>
      <charset val="238"/>
    </font>
    <font>
      <b/>
      <sz val="13"/>
      <color theme="1"/>
      <name val="Arial Narrow"/>
      <family val="2"/>
      <charset val="238"/>
    </font>
    <font>
      <sz val="13"/>
      <color theme="1"/>
      <name val="Arial CE"/>
      <charset val="238"/>
    </font>
    <font>
      <sz val="14"/>
      <color theme="1"/>
      <name val="Arial CE"/>
      <charset val="238"/>
    </font>
    <font>
      <b/>
      <i/>
      <sz val="13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FF00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6" fillId="5" borderId="20" applyNumberFormat="0" applyProtection="0">
      <alignment horizontal="left" vertical="center" indent="1"/>
    </xf>
    <xf numFmtId="0" fontId="6" fillId="5" borderId="20" applyNumberFormat="0" applyProtection="0">
      <alignment horizontal="left" vertical="center" indent="1"/>
    </xf>
    <xf numFmtId="0" fontId="6" fillId="5" borderId="20" applyNumberFormat="0" applyProtection="0">
      <alignment horizontal="left" vertical="center" wrapText="1" indent="1"/>
    </xf>
    <xf numFmtId="4" fontId="8" fillId="7" borderId="20" applyNumberFormat="0" applyProtection="0">
      <alignment horizontal="left" vertical="center" indent="1"/>
    </xf>
    <xf numFmtId="4" fontId="8" fillId="7" borderId="20" applyNumberFormat="0" applyProtection="0">
      <alignment vertical="center"/>
    </xf>
    <xf numFmtId="0" fontId="6" fillId="9" borderId="20" applyNumberFormat="0" applyProtection="0">
      <alignment horizontal="left" vertical="center" indent="1"/>
    </xf>
    <xf numFmtId="43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4" fillId="7" borderId="20" applyNumberFormat="0" applyProtection="0">
      <alignment vertical="center"/>
    </xf>
    <xf numFmtId="4" fontId="8" fillId="7" borderId="20" applyNumberFormat="0" applyProtection="0">
      <alignment horizontal="left" vertical="center" indent="1"/>
    </xf>
    <xf numFmtId="4" fontId="8" fillId="11" borderId="20" applyNumberFormat="0" applyProtection="0">
      <alignment horizontal="right" vertical="center"/>
    </xf>
    <xf numFmtId="4" fontId="8" fillId="12" borderId="20" applyNumberFormat="0" applyProtection="0">
      <alignment horizontal="right" vertical="center"/>
    </xf>
    <xf numFmtId="4" fontId="8" fillId="13" borderId="20" applyNumberFormat="0" applyProtection="0">
      <alignment horizontal="right" vertical="center"/>
    </xf>
    <xf numFmtId="4" fontId="8" fillId="14" borderId="20" applyNumberFormat="0" applyProtection="0">
      <alignment horizontal="right" vertical="center"/>
    </xf>
    <xf numFmtId="4" fontId="8" fillId="15" borderId="20" applyNumberFormat="0" applyProtection="0">
      <alignment horizontal="right" vertical="center"/>
    </xf>
    <xf numFmtId="4" fontId="8" fillId="16" borderId="20" applyNumberFormat="0" applyProtection="0">
      <alignment horizontal="right" vertical="center"/>
    </xf>
    <xf numFmtId="4" fontId="8" fillId="17" borderId="20" applyNumberFormat="0" applyProtection="0">
      <alignment horizontal="right" vertical="center"/>
    </xf>
    <xf numFmtId="4" fontId="8" fillId="18" borderId="20" applyNumberFormat="0" applyProtection="0">
      <alignment horizontal="right" vertical="center"/>
    </xf>
    <xf numFmtId="4" fontId="8" fillId="19" borderId="20" applyNumberFormat="0" applyProtection="0">
      <alignment horizontal="right" vertical="center"/>
    </xf>
    <xf numFmtId="4" fontId="15" fillId="20" borderId="20" applyNumberFormat="0" applyProtection="0">
      <alignment horizontal="left" vertical="center" indent="1"/>
    </xf>
    <xf numFmtId="4" fontId="8" fillId="21" borderId="34" applyNumberFormat="0" applyProtection="0">
      <alignment horizontal="left" vertical="center" indent="1"/>
    </xf>
    <xf numFmtId="4" fontId="16" fillId="22" borderId="0" applyNumberFormat="0" applyProtection="0">
      <alignment horizontal="left" vertical="center" indent="1"/>
    </xf>
    <xf numFmtId="0" fontId="6" fillId="5" borderId="20" applyNumberFormat="0" applyProtection="0">
      <alignment horizontal="left" vertical="center" indent="1"/>
    </xf>
    <xf numFmtId="4" fontId="17" fillId="21" borderId="20" applyNumberFormat="0" applyProtection="0">
      <alignment horizontal="left" vertical="center" indent="1"/>
    </xf>
    <xf numFmtId="4" fontId="17" fillId="9" borderId="20" applyNumberFormat="0" applyProtection="0">
      <alignment horizontal="left" vertical="center" indent="1"/>
    </xf>
    <xf numFmtId="0" fontId="6" fillId="9" borderId="20" applyNumberFormat="0" applyProtection="0">
      <alignment horizontal="left" vertical="center" indent="1"/>
    </xf>
    <xf numFmtId="0" fontId="6" fillId="23" borderId="20" applyNumberFormat="0" applyProtection="0">
      <alignment horizontal="left" vertical="center" indent="1"/>
    </xf>
    <xf numFmtId="0" fontId="6" fillId="23" borderId="20" applyNumberFormat="0" applyProtection="0">
      <alignment horizontal="left" vertical="center" indent="1"/>
    </xf>
    <xf numFmtId="0" fontId="6" fillId="24" borderId="20" applyNumberFormat="0" applyProtection="0">
      <alignment horizontal="left" vertical="center" indent="1"/>
    </xf>
    <xf numFmtId="0" fontId="6" fillId="24" borderId="20" applyNumberFormat="0" applyProtection="0">
      <alignment horizontal="left" vertical="center" indent="1"/>
    </xf>
    <xf numFmtId="0" fontId="6" fillId="5" borderId="20" applyNumberFormat="0" applyProtection="0">
      <alignment horizontal="left" vertical="center" indent="1"/>
    </xf>
    <xf numFmtId="0" fontId="6" fillId="5" borderId="20" applyNumberFormat="0" applyProtection="0">
      <alignment horizontal="left" vertical="center" indent="1"/>
    </xf>
    <xf numFmtId="4" fontId="8" fillId="25" borderId="20" applyNumberFormat="0" applyProtection="0">
      <alignment vertical="center"/>
    </xf>
    <xf numFmtId="4" fontId="14" fillId="25" borderId="20" applyNumberFormat="0" applyProtection="0">
      <alignment vertical="center"/>
    </xf>
    <xf numFmtId="4" fontId="8" fillId="25" borderId="20" applyNumberFormat="0" applyProtection="0">
      <alignment horizontal="left" vertical="center" indent="1"/>
    </xf>
    <xf numFmtId="4" fontId="8" fillId="25" borderId="20" applyNumberFormat="0" applyProtection="0">
      <alignment horizontal="left" vertical="center" indent="1"/>
    </xf>
    <xf numFmtId="4" fontId="8" fillId="21" borderId="20" applyNumberFormat="0" applyProtection="0">
      <alignment horizontal="right" vertical="center"/>
    </xf>
    <xf numFmtId="4" fontId="14" fillId="21" borderId="20" applyNumberFormat="0" applyProtection="0">
      <alignment horizontal="right" vertical="center"/>
    </xf>
    <xf numFmtId="0" fontId="6" fillId="5" borderId="20" applyNumberFormat="0" applyProtection="0">
      <alignment horizontal="left" vertical="center" indent="1"/>
    </xf>
    <xf numFmtId="0" fontId="18" fillId="0" borderId="0"/>
    <xf numFmtId="4" fontId="19" fillId="21" borderId="20" applyNumberFormat="0" applyProtection="0">
      <alignment horizontal="right" vertical="center"/>
    </xf>
    <xf numFmtId="0" fontId="6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/>
    </xf>
    <xf numFmtId="0" fontId="3" fillId="0" borderId="10" xfId="0" applyFont="1" applyBorder="1"/>
    <xf numFmtId="3" fontId="3" fillId="0" borderId="1" xfId="0" applyNumberFormat="1" applyFont="1" applyBorder="1"/>
    <xf numFmtId="0" fontId="3" fillId="0" borderId="7" xfId="0" applyFont="1" applyBorder="1"/>
    <xf numFmtId="3" fontId="3" fillId="0" borderId="2" xfId="0" applyNumberFormat="1" applyFont="1" applyBorder="1"/>
    <xf numFmtId="0" fontId="3" fillId="0" borderId="12" xfId="0" applyFont="1" applyBorder="1"/>
    <xf numFmtId="3" fontId="5" fillId="2" borderId="13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vertical="center"/>
    </xf>
    <xf numFmtId="3" fontId="3" fillId="0" borderId="0" xfId="0" applyNumberFormat="1" applyFont="1"/>
    <xf numFmtId="0" fontId="6" fillId="0" borderId="8" xfId="0" quotePrefix="1" applyFont="1" applyBorder="1" applyAlignment="1">
      <alignment horizontal="center" vertical="center"/>
    </xf>
    <xf numFmtId="0" fontId="7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10" fillId="0" borderId="27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1" fillId="0" borderId="16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25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3" xfId="0" quotePrefix="1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21" fillId="0" borderId="0" xfId="0" applyFont="1" applyAlignment="1"/>
    <xf numFmtId="165" fontId="11" fillId="0" borderId="0" xfId="0" applyNumberFormat="1" applyFont="1"/>
    <xf numFmtId="49" fontId="24" fillId="0" borderId="0" xfId="0" applyNumberFormat="1" applyFont="1" applyAlignment="1"/>
    <xf numFmtId="0" fontId="0" fillId="0" borderId="0" xfId="0" applyFont="1"/>
    <xf numFmtId="49" fontId="24" fillId="0" borderId="0" xfId="0" applyNumberFormat="1" applyFont="1" applyFill="1" applyBorder="1" applyAlignment="1"/>
    <xf numFmtId="49" fontId="24" fillId="0" borderId="0" xfId="0" applyNumberFormat="1" applyFont="1" applyFill="1" applyAlignment="1"/>
    <xf numFmtId="0" fontId="11" fillId="0" borderId="10" xfId="1" quotePrefix="1" applyFont="1" applyFill="1" applyBorder="1" applyAlignment="1" applyProtection="1">
      <alignment horizontal="center" vertical="center" wrapText="1"/>
      <protection locked="0"/>
    </xf>
    <xf numFmtId="0" fontId="11" fillId="0" borderId="1" xfId="1" quotePrefix="1" applyFont="1" applyFill="1" applyBorder="1" applyAlignment="1" applyProtection="1">
      <alignment horizontal="center" vertical="center" wrapText="1"/>
      <protection locked="0"/>
    </xf>
    <xf numFmtId="0" fontId="11" fillId="6" borderId="1" xfId="1" quotePrefix="1" applyFont="1" applyFill="1" applyBorder="1" applyAlignment="1" applyProtection="1">
      <alignment horizontal="center" vertical="center" wrapText="1"/>
      <protection locked="0"/>
    </xf>
    <xf numFmtId="0" fontId="11" fillId="0" borderId="25" xfId="1" quotePrefix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Alignment="1">
      <alignment horizontal="center"/>
    </xf>
    <xf numFmtId="3" fontId="25" fillId="8" borderId="1" xfId="6" applyNumberFormat="1" applyFont="1" applyFill="1" applyBorder="1" applyAlignment="1" applyProtection="1">
      <alignment horizontal="right" vertical="center" wrapText="1"/>
      <protection locked="0"/>
    </xf>
    <xf numFmtId="165" fontId="25" fillId="10" borderId="1" xfId="5" applyNumberFormat="1" applyFont="1" applyFill="1" applyBorder="1" applyAlignment="1" applyProtection="1">
      <alignment horizontal="right" vertical="center"/>
      <protection locked="0"/>
    </xf>
    <xf numFmtId="165" fontId="25" fillId="8" borderId="1" xfId="5" applyNumberFormat="1" applyFont="1" applyFill="1" applyBorder="1" applyAlignment="1" applyProtection="1">
      <alignment horizontal="right" vertical="center"/>
      <protection locked="0"/>
    </xf>
    <xf numFmtId="3" fontId="25" fillId="8" borderId="25" xfId="5" applyNumberFormat="1" applyFont="1" applyFill="1" applyBorder="1" applyAlignment="1" applyProtection="1">
      <alignment horizontal="right" vertical="center"/>
      <protection locked="0"/>
    </xf>
    <xf numFmtId="49" fontId="26" fillId="0" borderId="0" xfId="0" applyNumberFormat="1" applyFont="1" applyFill="1" applyBorder="1" applyAlignment="1"/>
    <xf numFmtId="49" fontId="26" fillId="0" borderId="0" xfId="0" applyNumberFormat="1" applyFont="1" applyFill="1" applyAlignment="1"/>
    <xf numFmtId="49" fontId="27" fillId="0" borderId="0" xfId="0" applyNumberFormat="1" applyFont="1" applyFill="1" applyBorder="1" applyAlignment="1"/>
    <xf numFmtId="49" fontId="27" fillId="0" borderId="0" xfId="0" applyNumberFormat="1" applyFont="1" applyFill="1" applyAlignment="1"/>
    <xf numFmtId="3" fontId="27" fillId="0" borderId="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4" fontId="27" fillId="0" borderId="0" xfId="0" applyNumberFormat="1" applyFont="1" applyFill="1" applyBorder="1" applyAlignment="1"/>
    <xf numFmtId="49" fontId="29" fillId="3" borderId="26" xfId="0" applyNumberFormat="1" applyFont="1" applyFill="1" applyBorder="1" applyAlignment="1">
      <alignment horizontal="center" vertical="center"/>
    </xf>
    <xf numFmtId="49" fontId="29" fillId="3" borderId="3" xfId="0" applyNumberFormat="1" applyFont="1" applyFill="1" applyBorder="1" applyAlignment="1">
      <alignment vertical="center"/>
    </xf>
    <xf numFmtId="3" fontId="29" fillId="3" borderId="1" xfId="0" applyNumberFormat="1" applyFont="1" applyFill="1" applyBorder="1" applyAlignment="1"/>
    <xf numFmtId="165" fontId="29" fillId="3" borderId="1" xfId="0" applyNumberFormat="1" applyFont="1" applyFill="1" applyBorder="1" applyAlignment="1"/>
    <xf numFmtId="3" fontId="29" fillId="3" borderId="25" xfId="0" applyNumberFormat="1" applyFont="1" applyFill="1" applyBorder="1" applyAlignment="1"/>
    <xf numFmtId="49" fontId="30" fillId="4" borderId="15" xfId="0" applyNumberFormat="1" applyFont="1" applyFill="1" applyBorder="1" applyAlignment="1">
      <alignment horizontal="center" vertical="center" wrapText="1"/>
    </xf>
    <xf numFmtId="49" fontId="30" fillId="4" borderId="3" xfId="0" applyNumberFormat="1" applyFont="1" applyFill="1" applyBorder="1" applyAlignment="1">
      <alignment horizontal="center" vertical="center" wrapText="1"/>
    </xf>
    <xf numFmtId="49" fontId="30" fillId="4" borderId="3" xfId="0" applyNumberFormat="1" applyFont="1" applyFill="1" applyBorder="1" applyAlignment="1">
      <alignment horizontal="left" vertical="center" wrapText="1"/>
    </xf>
    <xf numFmtId="3" fontId="30" fillId="4" borderId="1" xfId="0" applyNumberFormat="1" applyFont="1" applyFill="1" applyBorder="1" applyAlignment="1">
      <alignment horizontal="right" vertical="center"/>
    </xf>
    <xf numFmtId="165" fontId="30" fillId="4" borderId="1" xfId="0" applyNumberFormat="1" applyFont="1" applyFill="1" applyBorder="1" applyAlignment="1">
      <alignment horizontal="right" vertical="center"/>
    </xf>
    <xf numFmtId="3" fontId="30" fillId="4" borderId="25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 wrapText="1"/>
    </xf>
    <xf numFmtId="165" fontId="11" fillId="6" borderId="1" xfId="5" applyNumberFormat="1" applyFont="1" applyFill="1" applyBorder="1" applyAlignment="1" applyProtection="1">
      <alignment horizontal="right" vertical="center"/>
      <protection locked="0"/>
    </xf>
    <xf numFmtId="3" fontId="11" fillId="6" borderId="1" xfId="0" applyNumberFormat="1" applyFont="1" applyFill="1" applyBorder="1" applyAlignment="1">
      <alignment horizontal="right" vertical="center"/>
    </xf>
    <xf numFmtId="3" fontId="29" fillId="3" borderId="1" xfId="0" applyNumberFormat="1" applyFont="1" applyFill="1" applyBorder="1" applyAlignment="1">
      <alignment horizontal="right" vertical="center"/>
    </xf>
    <xf numFmtId="165" fontId="29" fillId="3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3" xfId="0" quotePrefix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165" fontId="11" fillId="6" borderId="2" xfId="5" applyNumberFormat="1" applyFont="1" applyFill="1" applyBorder="1" applyAlignment="1" applyProtection="1">
      <alignment horizontal="right" vertical="center"/>
      <protection locked="0"/>
    </xf>
    <xf numFmtId="0" fontId="11" fillId="0" borderId="1" xfId="0" quotePrefix="1" applyFont="1" applyBorder="1" applyAlignment="1">
      <alignment horizontal="left" vertical="center"/>
    </xf>
    <xf numFmtId="49" fontId="30" fillId="4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3" fontId="29" fillId="3" borderId="25" xfId="0" applyNumberFormat="1" applyFont="1" applyFill="1" applyBorder="1" applyAlignment="1">
      <alignment vertical="center"/>
    </xf>
    <xf numFmtId="49" fontId="30" fillId="4" borderId="33" xfId="0" applyNumberFormat="1" applyFont="1" applyFill="1" applyBorder="1" applyAlignment="1">
      <alignment horizontal="center" vertical="center" wrapText="1"/>
    </xf>
    <xf numFmtId="49" fontId="30" fillId="4" borderId="19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11" fillId="0" borderId="16" xfId="0" quotePrefix="1" applyFont="1" applyBorder="1" applyAlignment="1">
      <alignment horizontal="center" vertical="center"/>
    </xf>
    <xf numFmtId="49" fontId="32" fillId="4" borderId="3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3" fontId="30" fillId="4" borderId="1" xfId="0" quotePrefix="1" applyNumberFormat="1" applyFont="1" applyFill="1" applyBorder="1" applyAlignment="1">
      <alignment horizontal="right" vertical="center"/>
    </xf>
    <xf numFmtId="49" fontId="29" fillId="3" borderId="26" xfId="0" applyNumberFormat="1" applyFont="1" applyFill="1" applyBorder="1" applyAlignment="1">
      <alignment horizontal="center" vertical="center" wrapText="1"/>
    </xf>
    <xf numFmtId="49" fontId="29" fillId="3" borderId="3" xfId="0" applyNumberFormat="1" applyFont="1" applyFill="1" applyBorder="1" applyAlignment="1">
      <alignment vertical="center" wrapText="1"/>
    </xf>
    <xf numFmtId="3" fontId="29" fillId="3" borderId="1" xfId="0" applyNumberFormat="1" applyFont="1" applyFill="1" applyBorder="1" applyAlignment="1">
      <alignment horizontal="right" vertical="center" wrapText="1"/>
    </xf>
    <xf numFmtId="165" fontId="29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0" fillId="0" borderId="7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32" xfId="0" applyFont="1" applyBorder="1" applyAlignment="1">
      <alignment horizontal="center" vertical="center"/>
    </xf>
    <xf numFmtId="3" fontId="0" fillId="0" borderId="0" xfId="0" applyNumberFormat="1" applyFont="1"/>
    <xf numFmtId="43" fontId="30" fillId="4" borderId="1" xfId="7" applyFont="1" applyFill="1" applyBorder="1" applyAlignment="1">
      <alignment horizontal="right" vertical="center"/>
    </xf>
    <xf numFmtId="43" fontId="11" fillId="0" borderId="1" xfId="7" applyFont="1" applyBorder="1" applyAlignment="1">
      <alignment horizontal="right" vertical="center"/>
    </xf>
    <xf numFmtId="49" fontId="30" fillId="4" borderId="15" xfId="0" applyNumberFormat="1" applyFont="1" applyFill="1" applyBorder="1" applyAlignment="1">
      <alignment vertical="center" wrapText="1"/>
    </xf>
    <xf numFmtId="165" fontId="3" fillId="0" borderId="11" xfId="0" applyNumberFormat="1" applyFont="1" applyBorder="1"/>
    <xf numFmtId="0" fontId="9" fillId="0" borderId="0" xfId="0" applyFont="1" applyAlignment="1">
      <alignment horizontal="right" vertical="center" wrapText="1"/>
    </xf>
    <xf numFmtId="3" fontId="9" fillId="26" borderId="0" xfId="0" applyNumberFormat="1" applyFont="1" applyFill="1"/>
    <xf numFmtId="0" fontId="34" fillId="0" borderId="0" xfId="0" applyFont="1" applyAlignment="1">
      <alignment horizontal="right" vertical="center" wrapText="1"/>
    </xf>
    <xf numFmtId="3" fontId="34" fillId="0" borderId="0" xfId="0" applyNumberFormat="1" applyFont="1"/>
    <xf numFmtId="0" fontId="35" fillId="0" borderId="0" xfId="0" applyFont="1" applyAlignment="1">
      <alignment horizontal="right" vertical="center" wrapText="1"/>
    </xf>
    <xf numFmtId="3" fontId="35" fillId="0" borderId="0" xfId="0" applyNumberFormat="1" applyFont="1"/>
    <xf numFmtId="165" fontId="34" fillId="0" borderId="0" xfId="0" applyNumberFormat="1" applyFont="1"/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right" vertical="center" wrapText="1"/>
    </xf>
    <xf numFmtId="3" fontId="20" fillId="6" borderId="21" xfId="5" applyNumberFormat="1" applyFont="1" applyFill="1" applyBorder="1" applyAlignment="1" applyProtection="1">
      <alignment horizontal="right" vertical="center"/>
      <protection locked="0"/>
    </xf>
    <xf numFmtId="165" fontId="25" fillId="6" borderId="21" xfId="5" applyNumberFormat="1" applyFont="1" applyFill="1" applyBorder="1" applyAlignment="1" applyProtection="1">
      <alignment horizontal="right" vertical="center"/>
      <protection locked="0"/>
    </xf>
    <xf numFmtId="3" fontId="25" fillId="6" borderId="21" xfId="6" applyNumberFormat="1" applyFont="1" applyFill="1" applyBorder="1" applyAlignment="1" applyProtection="1">
      <alignment horizontal="right" vertical="center" wrapText="1"/>
      <protection locked="0"/>
    </xf>
    <xf numFmtId="3" fontId="25" fillId="6" borderId="2" xfId="6" applyNumberFormat="1" applyFont="1" applyFill="1" applyBorder="1" applyAlignment="1" applyProtection="1">
      <alignment horizontal="right" vertical="center" wrapText="1"/>
      <protection locked="0"/>
    </xf>
    <xf numFmtId="165" fontId="25" fillId="6" borderId="2" xfId="5" applyNumberFormat="1" applyFont="1" applyFill="1" applyBorder="1" applyAlignment="1" applyProtection="1">
      <alignment horizontal="right" vertical="center"/>
      <protection locked="0"/>
    </xf>
    <xf numFmtId="3" fontId="25" fillId="6" borderId="29" xfId="5" applyNumberFormat="1" applyFont="1" applyFill="1" applyBorder="1" applyAlignment="1" applyProtection="1">
      <alignment horizontal="right" vertical="center"/>
      <protection locked="0"/>
    </xf>
    <xf numFmtId="3" fontId="28" fillId="6" borderId="21" xfId="5" applyNumberFormat="1" applyFont="1" applyFill="1" applyBorder="1" applyAlignment="1" applyProtection="1">
      <alignment horizontal="right" vertical="center"/>
      <protection locked="0"/>
    </xf>
    <xf numFmtId="3" fontId="28" fillId="6" borderId="2" xfId="5" applyNumberFormat="1" applyFont="1" applyFill="1" applyBorder="1" applyAlignment="1" applyProtection="1">
      <alignment horizontal="right" vertical="center"/>
      <protection locked="0"/>
    </xf>
    <xf numFmtId="3" fontId="25" fillId="8" borderId="31" xfId="6" applyNumberFormat="1" applyFont="1" applyFill="1" applyBorder="1" applyAlignment="1" applyProtection="1">
      <alignment horizontal="right" vertical="center" wrapText="1"/>
      <protection locked="0"/>
    </xf>
    <xf numFmtId="165" fontId="25" fillId="10" borderId="31" xfId="5" applyNumberFormat="1" applyFont="1" applyFill="1" applyBorder="1" applyAlignment="1" applyProtection="1">
      <alignment horizontal="right" vertical="center"/>
      <protection locked="0"/>
    </xf>
    <xf numFmtId="165" fontId="25" fillId="8" borderId="31" xfId="5" applyNumberFormat="1" applyFont="1" applyFill="1" applyBorder="1" applyAlignment="1" applyProtection="1">
      <alignment horizontal="right" vertical="center"/>
      <protection locked="0"/>
    </xf>
    <xf numFmtId="3" fontId="25" fillId="8" borderId="37" xfId="5" applyNumberFormat="1" applyFont="1" applyFill="1" applyBorder="1" applyAlignment="1" applyProtection="1">
      <alignment horizontal="right" vertical="center"/>
      <protection locked="0"/>
    </xf>
    <xf numFmtId="0" fontId="11" fillId="0" borderId="32" xfId="0" quotePrefix="1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left" vertical="center" wrapText="1"/>
    </xf>
    <xf numFmtId="3" fontId="11" fillId="0" borderId="32" xfId="0" applyNumberFormat="1" applyFont="1" applyBorder="1" applyAlignment="1">
      <alignment horizontal="right" vertical="center"/>
    </xf>
    <xf numFmtId="165" fontId="11" fillId="6" borderId="32" xfId="5" applyNumberFormat="1" applyFont="1" applyFill="1" applyBorder="1" applyAlignment="1" applyProtection="1">
      <alignment horizontal="right" vertical="center"/>
      <protection locked="0"/>
    </xf>
    <xf numFmtId="3" fontId="11" fillId="0" borderId="28" xfId="0" applyNumberFormat="1" applyFont="1" applyBorder="1" applyAlignment="1">
      <alignment horizontal="right" vertical="center"/>
    </xf>
    <xf numFmtId="3" fontId="11" fillId="0" borderId="38" xfId="0" applyNumberFormat="1" applyFont="1" applyBorder="1" applyAlignment="1">
      <alignment horizontal="right" vertical="center"/>
    </xf>
    <xf numFmtId="0" fontId="11" fillId="6" borderId="27" xfId="4" applyNumberFormat="1" applyFont="1" applyFill="1" applyBorder="1" applyAlignment="1" applyProtection="1">
      <alignment horizontal="left" vertical="center" wrapText="1"/>
      <protection locked="0"/>
    </xf>
    <xf numFmtId="0" fontId="11" fillId="6" borderId="0" xfId="4" applyNumberFormat="1" applyFont="1" applyFill="1" applyBorder="1" applyAlignment="1" applyProtection="1">
      <alignment horizontal="left" vertical="center" wrapText="1"/>
      <protection locked="0"/>
    </xf>
    <xf numFmtId="0" fontId="28" fillId="6" borderId="27" xfId="0" applyFont="1" applyFill="1" applyBorder="1" applyAlignment="1">
      <alignment horizontal="left" wrapText="1"/>
    </xf>
    <xf numFmtId="0" fontId="28" fillId="6" borderId="0" xfId="0" applyFont="1" applyFill="1" applyBorder="1" applyAlignment="1">
      <alignment horizontal="left" wrapText="1"/>
    </xf>
    <xf numFmtId="0" fontId="28" fillId="6" borderId="30" xfId="0" applyFont="1" applyFill="1" applyBorder="1" applyAlignment="1">
      <alignment horizontal="left" wrapText="1"/>
    </xf>
    <xf numFmtId="0" fontId="28" fillId="6" borderId="19" xfId="0" applyFont="1" applyFill="1" applyBorder="1" applyAlignment="1">
      <alignment horizontal="left" wrapText="1"/>
    </xf>
    <xf numFmtId="0" fontId="25" fillId="8" borderId="26" xfId="6" applyFont="1" applyFill="1" applyBorder="1" applyAlignment="1" applyProtection="1">
      <alignment horizontal="left" vertical="center" wrapText="1"/>
      <protection locked="0"/>
    </xf>
    <xf numFmtId="0" fontId="25" fillId="8" borderId="3" xfId="6" applyFont="1" applyFill="1" applyBorder="1" applyAlignment="1" applyProtection="1">
      <alignment horizontal="left" vertical="center" wrapText="1"/>
      <protection locked="0"/>
    </xf>
    <xf numFmtId="49" fontId="29" fillId="3" borderId="3" xfId="0" applyNumberFormat="1" applyFont="1" applyFill="1" applyBorder="1" applyAlignment="1">
      <alignment horizontal="left" vertical="center"/>
    </xf>
    <xf numFmtId="49" fontId="29" fillId="3" borderId="16" xfId="0" applyNumberFormat="1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wrapText="1"/>
    </xf>
    <xf numFmtId="0" fontId="11" fillId="0" borderId="1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20" fillId="0" borderId="0" xfId="0" applyFont="1" applyAlignment="1">
      <alignment horizontal="right"/>
    </xf>
    <xf numFmtId="0" fontId="11" fillId="6" borderId="22" xfId="1" applyFont="1" applyFill="1" applyBorder="1" applyAlignment="1" applyProtection="1">
      <alignment horizontal="center" vertical="center" textRotation="90" wrapText="1"/>
      <protection locked="0"/>
    </xf>
    <xf numFmtId="0" fontId="11" fillId="6" borderId="1" xfId="1" applyFont="1" applyFill="1" applyBorder="1" applyAlignment="1" applyProtection="1">
      <alignment horizontal="center" vertical="center" textRotation="90" wrapText="1"/>
      <protection locked="0"/>
    </xf>
    <xf numFmtId="0" fontId="11" fillId="6" borderId="22" xfId="1" applyFont="1" applyFill="1" applyBorder="1" applyAlignment="1" applyProtection="1">
      <alignment horizontal="center" vertical="center" wrapText="1"/>
      <protection locked="0"/>
    </xf>
    <xf numFmtId="0" fontId="11" fillId="6" borderId="1" xfId="1" applyFont="1" applyFill="1" applyBorder="1" applyAlignment="1" applyProtection="1">
      <alignment horizontal="center" vertical="center" wrapText="1"/>
      <protection locked="0"/>
    </xf>
    <xf numFmtId="0" fontId="11" fillId="6" borderId="1" xfId="1" quotePrefix="1" applyFont="1" applyFill="1" applyBorder="1" applyAlignment="1" applyProtection="1">
      <alignment horizontal="center" vertical="center" wrapText="1"/>
      <protection locked="0"/>
    </xf>
    <xf numFmtId="0" fontId="9" fillId="6" borderId="24" xfId="2" quotePrefix="1" applyFont="1" applyFill="1" applyBorder="1" applyAlignment="1" applyProtection="1">
      <alignment horizontal="center" vertical="center" wrapText="1"/>
      <protection locked="0"/>
    </xf>
    <xf numFmtId="0" fontId="9" fillId="6" borderId="25" xfId="2" quotePrefix="1" applyFont="1" applyFill="1" applyBorder="1" applyAlignment="1" applyProtection="1">
      <alignment horizontal="center" vertical="center" wrapText="1"/>
      <protection locked="0"/>
    </xf>
    <xf numFmtId="0" fontId="11" fillId="6" borderId="23" xfId="1" applyFont="1" applyFill="1" applyBorder="1" applyAlignment="1" applyProtection="1">
      <alignment horizontal="center" vertical="center" wrapText="1"/>
      <protection locked="0"/>
    </xf>
    <xf numFmtId="0" fontId="11" fillId="6" borderId="2" xfId="1" applyFont="1" applyFill="1" applyBorder="1" applyAlignment="1" applyProtection="1">
      <alignment horizontal="center" vertical="center" wrapText="1"/>
      <protection locked="0"/>
    </xf>
    <xf numFmtId="0" fontId="9" fillId="6" borderId="23" xfId="2" quotePrefix="1" applyFont="1" applyFill="1" applyBorder="1" applyAlignment="1" applyProtection="1">
      <alignment horizontal="center" vertical="center" wrapText="1"/>
      <protection locked="0"/>
    </xf>
    <xf numFmtId="0" fontId="9" fillId="6" borderId="2" xfId="2" quotePrefix="1" applyFont="1" applyFill="1" applyBorder="1" applyAlignment="1" applyProtection="1">
      <alignment horizontal="center" vertical="center" wrapText="1"/>
      <protection locked="0"/>
    </xf>
    <xf numFmtId="0" fontId="9" fillId="6" borderId="23" xfId="2" applyFont="1" applyFill="1" applyBorder="1" applyAlignment="1" applyProtection="1">
      <alignment horizontal="center" vertical="center" wrapText="1"/>
      <protection locked="0"/>
    </xf>
    <xf numFmtId="0" fontId="9" fillId="6" borderId="2" xfId="2" applyFont="1" applyFill="1" applyBorder="1" applyAlignment="1" applyProtection="1">
      <alignment horizontal="center" vertical="center" wrapText="1"/>
      <protection locked="0"/>
    </xf>
    <xf numFmtId="165" fontId="9" fillId="6" borderId="23" xfId="2" quotePrefix="1" applyNumberFormat="1" applyFont="1" applyFill="1" applyBorder="1" applyAlignment="1" applyProtection="1">
      <alignment horizontal="center" vertical="center" wrapText="1"/>
      <protection locked="0"/>
    </xf>
    <xf numFmtId="165" fontId="9" fillId="6" borderId="2" xfId="2" quotePrefix="1" applyNumberFormat="1" applyFont="1" applyFill="1" applyBorder="1" applyAlignment="1" applyProtection="1">
      <alignment horizontal="center" vertical="center" wrapText="1"/>
      <protection locked="0"/>
    </xf>
    <xf numFmtId="0" fontId="9" fillId="6" borderId="23" xfId="3" quotePrefix="1" applyFont="1" applyFill="1" applyBorder="1" applyAlignment="1" applyProtection="1">
      <alignment horizontal="center" vertical="center" wrapText="1"/>
      <protection locked="0"/>
    </xf>
    <xf numFmtId="0" fontId="9" fillId="6" borderId="2" xfId="3" quotePrefix="1" applyFont="1" applyFill="1" applyBorder="1" applyAlignment="1" applyProtection="1">
      <alignment horizontal="center" vertical="center" wrapText="1"/>
      <protection locked="0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5" fillId="8" borderId="35" xfId="4" applyNumberFormat="1" applyFont="1" applyFill="1" applyBorder="1" applyAlignment="1" applyProtection="1">
      <alignment horizontal="left" vertical="center" wrapText="1"/>
      <protection locked="0"/>
    </xf>
    <xf numFmtId="0" fontId="25" fillId="8" borderId="36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>
      <alignment horizontal="center" vertical="top"/>
    </xf>
    <xf numFmtId="49" fontId="29" fillId="3" borderId="3" xfId="0" applyNumberFormat="1" applyFont="1" applyFill="1" applyBorder="1" applyAlignment="1">
      <alignment horizontal="left" vertical="center" wrapText="1"/>
    </xf>
    <xf numFmtId="49" fontId="29" fillId="3" borderId="1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47">
    <cellStyle name="Dziesiętny" xfId="7" builtinId="3"/>
    <cellStyle name="Dziesiętny 2" xfId="10"/>
    <cellStyle name="Dziesiętny 3" xfId="9"/>
    <cellStyle name="Normalny" xfId="0" builtinId="0"/>
    <cellStyle name="Normalny 2" xfId="8"/>
    <cellStyle name="Normalny 3" xfId="46"/>
    <cellStyle name="Procentowy 2" xfId="12"/>
    <cellStyle name="Procentowy 3" xfId="11"/>
    <cellStyle name="SAPBEXaggData" xfId="5"/>
    <cellStyle name="SAPBEXaggDataEmph" xfId="13"/>
    <cellStyle name="SAPBEXaggItem" xfId="4"/>
    <cellStyle name="SAPBEXaggItemX" xfId="14"/>
    <cellStyle name="SAPBEXchaText" xfId="1"/>
    <cellStyle name="SAPBEXexcBad7" xfId="15"/>
    <cellStyle name="SAPBEXexcBad8" xfId="16"/>
    <cellStyle name="SAPBEXexcBad9" xfId="17"/>
    <cellStyle name="SAPBEXexcCritical4" xfId="18"/>
    <cellStyle name="SAPBEXexcCritical5" xfId="19"/>
    <cellStyle name="SAPBEXexcCritical6" xfId="20"/>
    <cellStyle name="SAPBEXexcGood1" xfId="21"/>
    <cellStyle name="SAPBEXexcGood2" xfId="22"/>
    <cellStyle name="SAPBEXexcGood3" xfId="23"/>
    <cellStyle name="SAPBEXfilterDrill" xfId="24"/>
    <cellStyle name="SAPBEXfilterItem" xfId="25"/>
    <cellStyle name="SAPBEXfilterText" xfId="26"/>
    <cellStyle name="SAPBEXformats" xfId="27"/>
    <cellStyle name="SAPBEXheaderItem" xfId="28"/>
    <cellStyle name="SAPBEXheaderText" xfId="29"/>
    <cellStyle name="SAPBEXHLevel0" xfId="6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2"/>
    <cellStyle name="SAPBEXstdItemX_wykonanie dochodów_I półrocze" xfId="3"/>
    <cellStyle name="SAPBEXtitle" xfId="44"/>
    <cellStyle name="SAPBEXundefined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3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114180730857699"/>
          <c:y val="6.9956255468066497E-2"/>
          <c:w val="0.6689505174337782"/>
          <c:h val="0.79032396380061987"/>
        </c:manualLayout>
      </c:layout>
      <c:pie3DChart>
        <c:varyColors val="1"/>
        <c:ser>
          <c:idx val="0"/>
          <c:order val="0"/>
          <c:spPr>
            <a:solidFill>
              <a:srgbClr val="E0E5E8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plosion val="15"/>
            <c:spPr>
              <a:pattFill prst="lgConfetti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11"/>
            <c:spPr>
              <a:pattFill prst="smCheck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9"/>
            <c:spPr>
              <a:pattFill prst="trellis">
                <a:fgClr>
                  <a:srgbClr xmlns:mc="http://schemas.openxmlformats.org/markup-compatibility/2006" xmlns:a14="http://schemas.microsoft.com/office/drawing/2010/main" val="99CCFF" mc:Ignorable="a14" a14:legacySpreadsheetColorIndex="4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explosion val="13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</a:gsLst>
                <a:path path="rect">
                  <a:fillToRect l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14"/>
            <c:spPr>
              <a:pattFill prst="horzBrick">
                <a:fgClr>
                  <a:srgbClr xmlns:mc="http://schemas.openxmlformats.org/markup-compatibility/2006" xmlns:a14="http://schemas.microsoft.com/office/drawing/2010/main" val="CCFF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00CCFF" mc:Ignorable="a14" a14:legacySpreadsheetColorIndex="4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sphere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545022130945353"/>
                  <c:y val="0.188074307970386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1.5056581496478727E-2"/>
                  <c:y val="6.97764809855620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2.3303095560784574E-2"/>
                  <c:y val="1.41513782858360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0.20381988154331818"/>
                  <c:y val="1.96517313508400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7.8581402245521847E-2"/>
                  <c:y val="3.080112447872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4.9215563999589811E-2"/>
                  <c:y val="2.463194638741223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6.206864057515514E-2"/>
                  <c:y val="3.8665725159989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-8.2193859875224151E-2"/>
                  <c:y val="-6.228688419023764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-0.1215566216841691"/>
                  <c:y val="-9.22395868029186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dziedziny!$B$8:$B$16</c:f>
              <c:strCache>
                <c:ptCount val="9"/>
                <c:pt idx="0">
                  <c:v>Transport, łączność i zaopatrzenie w energię</c:v>
                </c:pt>
                <c:pt idx="1">
                  <c:v>Administracja i bezpieczeństwo publiczne</c:v>
                </c:pt>
                <c:pt idx="2">
                  <c:v>Kultura, sport i turystyka </c:v>
                </c:pt>
                <c:pt idx="3">
                  <c:v>Polityka społeczna i rozwój przedsiębiorczości </c:v>
                </c:pt>
                <c:pt idx="4">
                  <c:v>Rolnictwo, rybactwo i ochrona środowiska </c:v>
                </c:pt>
                <c:pt idx="5">
                  <c:v>Edukacja, opieka wychowawcza oraz nauka</c:v>
                </c:pt>
                <c:pt idx="6">
                  <c:v>Ochrona zdrowia i pomoc społeczna   </c:v>
                </c:pt>
                <c:pt idx="7">
                  <c:v>Rezerwa i finanse </c:v>
                </c:pt>
                <c:pt idx="8">
                  <c:v>Gospodarka mieszkaniowa i planowanie przestrzenne </c:v>
                </c:pt>
              </c:strCache>
            </c:strRef>
          </c:cat>
          <c:val>
            <c:numRef>
              <c:f>dziedziny!$E$8:$E$16</c:f>
              <c:numCache>
                <c:formatCode>0.0%</c:formatCode>
                <c:ptCount val="9"/>
                <c:pt idx="0">
                  <c:v>0.48792293836295614</c:v>
                </c:pt>
                <c:pt idx="1">
                  <c:v>0.12419876731373432</c:v>
                </c:pt>
                <c:pt idx="2">
                  <c:v>9.8879954765955597E-2</c:v>
                </c:pt>
                <c:pt idx="3">
                  <c:v>9.8151445621188771E-2</c:v>
                </c:pt>
                <c:pt idx="4">
                  <c:v>7.3321407421044288E-2</c:v>
                </c:pt>
                <c:pt idx="5">
                  <c:v>4.4576832698054625E-2</c:v>
                </c:pt>
                <c:pt idx="6">
                  <c:v>3.7415438858791006E-2</c:v>
                </c:pt>
                <c:pt idx="7">
                  <c:v>2.1895746288794333E-2</c:v>
                </c:pt>
                <c:pt idx="8">
                  <c:v>1.3637468669480958E-2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77" l="0.75" r="0.75" t="0.64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21</xdr:row>
      <xdr:rowOff>104775</xdr:rowOff>
    </xdr:from>
    <xdr:to>
      <xdr:col>7</xdr:col>
      <xdr:colOff>333375</xdr:colOff>
      <xdr:row>51</xdr:row>
      <xdr:rowOff>19050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r%20za%20I%20polrocze%202012_WPF_przedsiewziecia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grudzien/grudzien_WPF_przedsiewzie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wykresy"/>
      <sheetName val="Ochrona zdrowia"/>
      <sheetName val="Oświata"/>
      <sheetName val="Administracja"/>
      <sheetName val="Kultura"/>
      <sheetName val="Rolnictwo i Ochrona środowiska"/>
      <sheetName val="Polityka społeczna i rozwój prz"/>
      <sheetName val="Kultura fizyczna"/>
      <sheetName val="Drogi"/>
      <sheetName val="projekty UE"/>
      <sheetName val="Arkusz1"/>
    </sheetNames>
    <sheetDataSet>
      <sheetData sheetId="0">
        <row r="78">
          <cell r="F78">
            <v>417830256</v>
          </cell>
          <cell r="K78">
            <v>413260176</v>
          </cell>
          <cell r="O78">
            <v>91051814.100000009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A -Drogi"/>
      <sheetName val="Zał. 2B Polit społ i rozwój prz"/>
      <sheetName val="Zał. 2C - Ochrona zdrowia"/>
      <sheetName val="Zał. 2D - Oświata"/>
      <sheetName val="Zał. 2E - Administracja"/>
      <sheetName val="Zał. 2F - Kultura"/>
      <sheetName val="Zał. 2G - Roln i ochrona środ."/>
      <sheetName val="Zał. 2H - Kultura fiz. i turyst"/>
      <sheetName val="projekty UE"/>
      <sheetName val="wyłączenia"/>
    </sheetNames>
    <sheetDataSet>
      <sheetData sheetId="0"/>
      <sheetData sheetId="1"/>
      <sheetData sheetId="2"/>
      <sheetData sheetId="3"/>
      <sheetData sheetId="4"/>
      <sheetData sheetId="5">
        <row r="106">
          <cell r="K106">
            <v>12735638</v>
          </cell>
        </row>
        <row r="107">
          <cell r="K107">
            <v>1600000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8"/>
  <sheetViews>
    <sheetView showGridLines="0" tabSelected="1" view="pageBreakPreview" zoomScale="110" zoomScaleNormal="100" zoomScaleSheetLayoutView="110" workbookViewId="0">
      <pane xSplit="6" ySplit="8" topLeftCell="G177" activePane="bottomRight" state="frozen"/>
      <selection pane="topRight" activeCell="G1" sqref="G1"/>
      <selection pane="bottomLeft" activeCell="A9" sqref="A9"/>
      <selection pane="bottomRight" activeCell="F231" sqref="F231"/>
    </sheetView>
  </sheetViews>
  <sheetFormatPr defaultRowHeight="16.5" x14ac:dyDescent="0.3"/>
  <cols>
    <col min="1" max="1" width="4.28515625" style="24" customWidth="1"/>
    <col min="2" max="2" width="6.28515625" style="25" customWidth="1"/>
    <col min="3" max="3" width="8.140625" style="26" bestFit="1" customWidth="1"/>
    <col min="4" max="4" width="10.42578125" style="26" customWidth="1"/>
    <col min="5" max="5" width="4.28515625" style="26" customWidth="1"/>
    <col min="6" max="6" width="42.42578125" style="27" customWidth="1"/>
    <col min="7" max="7" width="13.5703125" style="28" customWidth="1"/>
    <col min="8" max="8" width="13.42578125" style="28" customWidth="1"/>
    <col min="9" max="9" width="13.7109375" style="28" customWidth="1"/>
    <col min="10" max="10" width="9.7109375" style="29" customWidth="1"/>
    <col min="11" max="11" width="9.28515625" style="30" customWidth="1"/>
    <col min="12" max="12" width="13.5703125" style="28" customWidth="1"/>
    <col min="13" max="13" width="21.85546875" style="55" customWidth="1"/>
    <col min="14" max="14" width="22.140625" style="55" customWidth="1"/>
    <col min="15" max="15" width="17.7109375" style="55" customWidth="1"/>
    <col min="16" max="16384" width="9.140625" style="55"/>
  </cols>
  <sheetData>
    <row r="1" spans="1:61" s="21" customFormat="1" ht="18" customHeight="1" x14ac:dyDescent="0.25">
      <c r="A1" s="47"/>
      <c r="B1" s="48"/>
      <c r="C1" s="49"/>
      <c r="D1" s="50"/>
      <c r="E1" s="50"/>
      <c r="F1" s="51"/>
      <c r="G1" s="48"/>
      <c r="H1" s="48"/>
      <c r="I1" s="48"/>
      <c r="J1" s="169"/>
      <c r="K1" s="169"/>
      <c r="L1" s="169"/>
      <c r="M1" s="52"/>
    </row>
    <row r="2" spans="1:61" s="21" customFormat="1" ht="4.5" customHeight="1" x14ac:dyDescent="0.2">
      <c r="A2" s="47"/>
      <c r="B2" s="48"/>
      <c r="C2" s="49"/>
      <c r="D2" s="50"/>
      <c r="E2" s="50"/>
      <c r="F2" s="51"/>
      <c r="G2" s="48"/>
      <c r="H2" s="48"/>
      <c r="I2" s="48"/>
      <c r="J2" s="53"/>
      <c r="K2" s="48"/>
      <c r="L2" s="48"/>
    </row>
    <row r="3" spans="1:61" s="54" customFormat="1" ht="46.5" customHeight="1" x14ac:dyDescent="0.35">
      <c r="A3" s="189" t="s">
        <v>547</v>
      </c>
      <c r="B3" s="189"/>
      <c r="C3" s="189"/>
      <c r="D3" s="189"/>
      <c r="E3" s="189"/>
      <c r="F3" s="189"/>
      <c r="G3" s="189"/>
      <c r="H3" s="189"/>
      <c r="I3" s="189"/>
      <c r="J3" s="190"/>
      <c r="K3" s="190"/>
      <c r="L3" s="190"/>
    </row>
    <row r="4" spans="1:61" ht="12.75" customHeight="1" x14ac:dyDescent="0.3"/>
    <row r="5" spans="1:61" ht="17.25" thickBot="1" x14ac:dyDescent="0.35"/>
    <row r="6" spans="1:61" s="57" customFormat="1" ht="27.75" customHeight="1" x14ac:dyDescent="0.2">
      <c r="A6" s="187" t="s">
        <v>397</v>
      </c>
      <c r="B6" s="170" t="s">
        <v>398</v>
      </c>
      <c r="C6" s="170" t="s">
        <v>399</v>
      </c>
      <c r="D6" s="172" t="s">
        <v>408</v>
      </c>
      <c r="E6" s="172"/>
      <c r="F6" s="177" t="s">
        <v>400</v>
      </c>
      <c r="G6" s="179" t="s">
        <v>401</v>
      </c>
      <c r="H6" s="181" t="s">
        <v>510</v>
      </c>
      <c r="I6" s="181" t="s">
        <v>511</v>
      </c>
      <c r="J6" s="183" t="s">
        <v>533</v>
      </c>
      <c r="K6" s="185" t="s">
        <v>402</v>
      </c>
      <c r="L6" s="175" t="s">
        <v>512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</row>
    <row r="7" spans="1:61" s="57" customFormat="1" ht="51" customHeight="1" x14ac:dyDescent="0.2">
      <c r="A7" s="188"/>
      <c r="B7" s="171"/>
      <c r="C7" s="171"/>
      <c r="D7" s="173"/>
      <c r="E7" s="173"/>
      <c r="F7" s="178"/>
      <c r="G7" s="180"/>
      <c r="H7" s="182"/>
      <c r="I7" s="182"/>
      <c r="J7" s="184"/>
      <c r="K7" s="186"/>
      <c r="L7" s="17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</row>
    <row r="8" spans="1:61" s="63" customFormat="1" ht="15.75" customHeight="1" x14ac:dyDescent="0.2">
      <c r="A8" s="58" t="s">
        <v>337</v>
      </c>
      <c r="B8" s="59" t="s">
        <v>338</v>
      </c>
      <c r="C8" s="59">
        <v>3</v>
      </c>
      <c r="D8" s="174">
        <v>4</v>
      </c>
      <c r="E8" s="174"/>
      <c r="F8" s="60">
        <v>5</v>
      </c>
      <c r="G8" s="59">
        <v>6</v>
      </c>
      <c r="H8" s="59">
        <v>7</v>
      </c>
      <c r="I8" s="59">
        <v>8</v>
      </c>
      <c r="J8" s="59">
        <v>9</v>
      </c>
      <c r="K8" s="59">
        <v>10</v>
      </c>
      <c r="L8" s="61">
        <v>11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</row>
    <row r="9" spans="1:61" s="69" customFormat="1" ht="22.5" customHeight="1" thickBot="1" x14ac:dyDescent="0.3">
      <c r="A9" s="191" t="s">
        <v>403</v>
      </c>
      <c r="B9" s="192"/>
      <c r="C9" s="192"/>
      <c r="D9" s="192"/>
      <c r="E9" s="192"/>
      <c r="F9" s="192"/>
      <c r="G9" s="146">
        <f>+G11+G12</f>
        <v>895139428</v>
      </c>
      <c r="H9" s="146">
        <f>+H11+H12</f>
        <v>936204728</v>
      </c>
      <c r="I9" s="146">
        <f>+I11+I12</f>
        <v>288232250.19</v>
      </c>
      <c r="J9" s="147">
        <f>I9/H9</f>
        <v>0.30787309823327447</v>
      </c>
      <c r="K9" s="148">
        <f>I9/$I$9</f>
        <v>1</v>
      </c>
      <c r="L9" s="149">
        <f>+I9-H9/2</f>
        <v>-179870113.81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</row>
    <row r="10" spans="1:61" s="71" customFormat="1" ht="11.25" customHeight="1" x14ac:dyDescent="0.25">
      <c r="A10" s="156" t="s">
        <v>404</v>
      </c>
      <c r="B10" s="157"/>
      <c r="C10" s="135"/>
      <c r="D10" s="135"/>
      <c r="E10" s="135"/>
      <c r="F10" s="136"/>
      <c r="G10" s="137"/>
      <c r="H10" s="138"/>
      <c r="I10" s="138"/>
      <c r="J10" s="139"/>
      <c r="K10" s="139"/>
      <c r="L10" s="143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</row>
    <row r="11" spans="1:61" s="71" customFormat="1" ht="17.25" customHeight="1" x14ac:dyDescent="0.3">
      <c r="A11" s="158" t="s">
        <v>405</v>
      </c>
      <c r="B11" s="159"/>
      <c r="C11" s="159"/>
      <c r="D11" s="159"/>
      <c r="E11" s="159"/>
      <c r="F11" s="159"/>
      <c r="G11" s="140">
        <f>+G15+G476</f>
        <v>461154254</v>
      </c>
      <c r="H11" s="140">
        <f t="shared" ref="H11:I11" si="0">+H15+H476</f>
        <v>482284768</v>
      </c>
      <c r="I11" s="140">
        <f t="shared" si="0"/>
        <v>203657648.04999998</v>
      </c>
      <c r="J11" s="139">
        <f>I11/H11</f>
        <v>0.42227675755664751</v>
      </c>
      <c r="K11" s="139">
        <f t="shared" ref="K11:K73" si="1">I11/$I$9</f>
        <v>0.70657481220699891</v>
      </c>
      <c r="L11" s="140">
        <f t="shared" ref="L11" si="2">+L15+L476</f>
        <v>-37484735.949999996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</row>
    <row r="12" spans="1:61" s="71" customFormat="1" ht="18" customHeight="1" x14ac:dyDescent="0.3">
      <c r="A12" s="160" t="s">
        <v>406</v>
      </c>
      <c r="B12" s="161"/>
      <c r="C12" s="161"/>
      <c r="D12" s="161"/>
      <c r="E12" s="161"/>
      <c r="F12" s="161"/>
      <c r="G12" s="141">
        <f>+G16+G477</f>
        <v>433985174</v>
      </c>
      <c r="H12" s="141">
        <f t="shared" ref="H12:I12" si="3">+H16+H477</f>
        <v>453919960</v>
      </c>
      <c r="I12" s="141">
        <f t="shared" si="3"/>
        <v>84574602.140000001</v>
      </c>
      <c r="J12" s="142">
        <f>I12/H12</f>
        <v>0.18632051813716233</v>
      </c>
      <c r="K12" s="142">
        <f t="shared" si="1"/>
        <v>0.29342518779300103</v>
      </c>
      <c r="L12" s="140">
        <f t="shared" ref="L12" si="4">+L16+L477</f>
        <v>-142385377.86000001</v>
      </c>
      <c r="M12" s="72"/>
      <c r="N12" s="72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</row>
    <row r="13" spans="1:61" s="69" customFormat="1" ht="21.75" customHeight="1" x14ac:dyDescent="0.25">
      <c r="A13" s="162" t="s">
        <v>407</v>
      </c>
      <c r="B13" s="163"/>
      <c r="C13" s="163"/>
      <c r="D13" s="163"/>
      <c r="E13" s="163"/>
      <c r="F13" s="163"/>
      <c r="G13" s="64">
        <v>831658428</v>
      </c>
      <c r="H13" s="64">
        <v>844488728</v>
      </c>
      <c r="I13" s="64">
        <v>257599593</v>
      </c>
      <c r="J13" s="65">
        <f>I13/H13</f>
        <v>0.3050361531882993</v>
      </c>
      <c r="K13" s="66">
        <f t="shared" si="1"/>
        <v>0.89372231188630957</v>
      </c>
      <c r="L13" s="67">
        <f>+I13-H13/2</f>
        <v>-164644771</v>
      </c>
      <c r="M13" s="68"/>
      <c r="N13" s="73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</row>
    <row r="14" spans="1:61" s="71" customFormat="1" ht="14.25" customHeight="1" x14ac:dyDescent="0.25">
      <c r="A14" s="156" t="s">
        <v>404</v>
      </c>
      <c r="B14" s="166"/>
      <c r="C14" s="135"/>
      <c r="D14" s="135"/>
      <c r="E14" s="135"/>
      <c r="F14" s="136"/>
      <c r="G14" s="137"/>
      <c r="H14" s="138"/>
      <c r="I14" s="138"/>
      <c r="J14" s="139"/>
      <c r="K14" s="139"/>
      <c r="L14" s="143"/>
      <c r="M14" s="70"/>
      <c r="N14" s="74"/>
      <c r="O14" s="75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</row>
    <row r="15" spans="1:61" s="71" customFormat="1" ht="17.25" customHeight="1" x14ac:dyDescent="0.3">
      <c r="A15" s="158" t="s">
        <v>405</v>
      </c>
      <c r="B15" s="159"/>
      <c r="C15" s="159"/>
      <c r="D15" s="159"/>
      <c r="E15" s="159"/>
      <c r="F15" s="159"/>
      <c r="G15" s="144">
        <f>+G13-G16</f>
        <v>410280254</v>
      </c>
      <c r="H15" s="144">
        <f>+H13-H16</f>
        <v>410494768</v>
      </c>
      <c r="I15" s="144">
        <f>+I13-I16</f>
        <v>174201433.19999999</v>
      </c>
      <c r="J15" s="139">
        <f t="shared" ref="J15:J79" si="5">I15/H15</f>
        <v>0.42436943605575989</v>
      </c>
      <c r="K15" s="139">
        <f t="shared" si="1"/>
        <v>0.60437870184605658</v>
      </c>
      <c r="L15" s="144">
        <f>+L13-L16</f>
        <v>-31045950.799999997</v>
      </c>
      <c r="M15" s="70"/>
      <c r="N15" s="72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</row>
    <row r="16" spans="1:61" s="71" customFormat="1" ht="14.25" customHeight="1" x14ac:dyDescent="0.3">
      <c r="A16" s="160" t="s">
        <v>406</v>
      </c>
      <c r="B16" s="161"/>
      <c r="C16" s="161"/>
      <c r="D16" s="161"/>
      <c r="E16" s="161"/>
      <c r="F16" s="161"/>
      <c r="G16" s="145">
        <f>+G22+G24+G25+G26+G27+G28+G37+G45+G47+G51+G52+G70+G86+G87+G96+G97+G98+G99+G100+G101+G102+G103+G104+G105+G106+G107+G108+G109+G110+G111+G112+G113+G114+G115+G116+G117+G118+G119+G120+G121+G122+G123+G124+G125+G126+G127+G128+G129+G130+G131+G132+G133+G134+G135+G140+G147+G151+G159+G170+G171+G172+G173+G206+G180+G207+G208+G218+G222+G223+G270+G273+G274+G275+G291+G302+G314+G318+G319+G320+G321+G322+G324+G326+G412+G429+G430+G431+G432+G442+G443+G444+G448+G452+G453+G454+G455+G461+G468</f>
        <v>421378174</v>
      </c>
      <c r="H16" s="145">
        <f t="shared" ref="H16:I16" si="6">+H22+H24+H25+H26+H27+H28+H37+H45+H47+H51+H52+H70+H86+H87+H96+H97+H98+H99+H100+H101+H102+H103+H104+H105+H106+H107+H108+H109+H110+H111+H112+H113+H114+H115+H116+H117+H118+H119+H120+H121+H122+H123+H124+H125+H126+H127+H128+H129+H130+H131+H132+H133+H134+H135+H140+H147+H151+H159+H170+H171+H172+H173+H206+H180+H207+H208+H218+H222+H223+H270+H273+H274+H275+H291+H302+H314+H318+H319+H320+H321+H322+H324+H326+H412+H429+H430+H431+H432+H442+H443+H444+H448+H452+H453+H454+H455+H461+H468</f>
        <v>433993960</v>
      </c>
      <c r="I16" s="145">
        <f t="shared" si="6"/>
        <v>83398159.799999997</v>
      </c>
      <c r="J16" s="142">
        <f t="shared" si="5"/>
        <v>0.19216433288610743</v>
      </c>
      <c r="K16" s="142">
        <f t="shared" si="1"/>
        <v>0.289343610040253</v>
      </c>
      <c r="L16" s="145">
        <f t="shared" ref="L16" si="7">+L22+L24+L25+L26+L27+L28+L37+L45+L47+L51+L52+L70+L86+L87+L96+L97+L98+L99+L100+L101+L102+L103+L104+L105+L106+L107+L108+L109+L110+L111+L112+L113+L114+L115+L116+L117+L118+L119+L120+L121+L122+L123+L124+L125+L126+L127+L128+L129+L130+L131+L132+L133+L134+L135+L140+L147+L151+L159+L170+L171+L172+L173+L206+L180+L207+L208+L218+L222+L223+L270+L273+L274+L275+L291+L302+L314+L318+L319+L320+L321+L322+L324+L326+L412+L429+L430+L431+L432+L442+L443+L444+L448+L452+L453+L454+L455+L461+L468</f>
        <v>-133598820.2</v>
      </c>
      <c r="M16" s="70"/>
      <c r="N16" s="72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</row>
    <row r="17" spans="1:14" s="2" customFormat="1" ht="18" customHeight="1" x14ac:dyDescent="0.25">
      <c r="A17" s="76" t="s">
        <v>0</v>
      </c>
      <c r="B17" s="77"/>
      <c r="C17" s="164" t="s">
        <v>1</v>
      </c>
      <c r="D17" s="164"/>
      <c r="E17" s="164"/>
      <c r="F17" s="165"/>
      <c r="G17" s="78">
        <f>+G18+G23+G29+G31+G35+G38</f>
        <v>52489664</v>
      </c>
      <c r="H17" s="78">
        <f>+H18+H23+H29+H31+H35+H38</f>
        <v>57738537</v>
      </c>
      <c r="I17" s="78">
        <f>+I479+I18+I23+I29+I31+I35+I38</f>
        <v>8163944.3000000017</v>
      </c>
      <c r="J17" s="79">
        <f t="shared" si="5"/>
        <v>0.14139506686842448</v>
      </c>
      <c r="K17" s="79">
        <f t="shared" si="1"/>
        <v>2.8324187507187022E-2</v>
      </c>
      <c r="L17" s="80">
        <f>+I17-H17*50%</f>
        <v>-20705324.199999999</v>
      </c>
      <c r="N17" s="22"/>
    </row>
    <row r="18" spans="1:14" s="1" customFormat="1" ht="21" customHeight="1" x14ac:dyDescent="0.25">
      <c r="A18" s="31"/>
      <c r="B18" s="81" t="s">
        <v>361</v>
      </c>
      <c r="C18" s="82"/>
      <c r="D18" s="82"/>
      <c r="E18" s="82"/>
      <c r="F18" s="83" t="s">
        <v>4</v>
      </c>
      <c r="G18" s="84">
        <f>+G19+G20+G21+G22</f>
        <v>11207887</v>
      </c>
      <c r="H18" s="84">
        <f>SUM(H19:H22)</f>
        <v>11087887</v>
      </c>
      <c r="I18" s="84">
        <f t="shared" ref="I18" si="8">+I19+I20+I21+I22</f>
        <v>5852097.7800000003</v>
      </c>
      <c r="J18" s="85">
        <f t="shared" si="5"/>
        <v>0.52779197515270493</v>
      </c>
      <c r="K18" s="85">
        <f t="shared" si="1"/>
        <v>2.0303410795087476E-2</v>
      </c>
      <c r="L18" s="86">
        <f>+I18-H18*50%</f>
        <v>308154.28000000026</v>
      </c>
      <c r="N18" s="23"/>
    </row>
    <row r="19" spans="1:14" ht="27.75" customHeight="1" x14ac:dyDescent="0.25">
      <c r="A19" s="32"/>
      <c r="B19" s="44"/>
      <c r="C19" s="87" t="s">
        <v>321</v>
      </c>
      <c r="D19" s="88" t="s">
        <v>320</v>
      </c>
      <c r="E19" s="34"/>
      <c r="F19" s="89" t="s">
        <v>5</v>
      </c>
      <c r="G19" s="35">
        <v>10704913</v>
      </c>
      <c r="H19" s="35">
        <v>10704913</v>
      </c>
      <c r="I19" s="35">
        <v>5708250.5999999996</v>
      </c>
      <c r="J19" s="90">
        <f t="shared" si="5"/>
        <v>0.53323652420155121</v>
      </c>
      <c r="K19" s="90">
        <f t="shared" si="1"/>
        <v>1.9804343879760763E-2</v>
      </c>
      <c r="L19" s="36">
        <f>+I19-H19*50%</f>
        <v>355794.09999999963</v>
      </c>
    </row>
    <row r="20" spans="1:14" ht="18" customHeight="1" x14ac:dyDescent="0.25">
      <c r="A20" s="32"/>
      <c r="B20" s="37"/>
      <c r="C20" s="87" t="s">
        <v>321</v>
      </c>
      <c r="D20" s="88" t="s">
        <v>320</v>
      </c>
      <c r="E20" s="34"/>
      <c r="F20" s="89" t="s">
        <v>6</v>
      </c>
      <c r="G20" s="35">
        <v>164400</v>
      </c>
      <c r="H20" s="35">
        <v>164400</v>
      </c>
      <c r="I20" s="91">
        <f>60350.57</f>
        <v>60350.57</v>
      </c>
      <c r="J20" s="90">
        <f t="shared" si="5"/>
        <v>0.36709592457420925</v>
      </c>
      <c r="K20" s="90">
        <f t="shared" si="1"/>
        <v>2.0938173976096523E-4</v>
      </c>
      <c r="L20" s="36">
        <f>+I20-H20*50%</f>
        <v>-21849.43</v>
      </c>
    </row>
    <row r="21" spans="1:14" ht="25.5" x14ac:dyDescent="0.25">
      <c r="A21" s="32"/>
      <c r="B21" s="37"/>
      <c r="C21" s="87" t="s">
        <v>321</v>
      </c>
      <c r="D21" s="88" t="s">
        <v>320</v>
      </c>
      <c r="E21" s="34"/>
      <c r="F21" s="89" t="s">
        <v>7</v>
      </c>
      <c r="G21" s="35">
        <v>148574</v>
      </c>
      <c r="H21" s="35">
        <v>148574</v>
      </c>
      <c r="I21" s="35">
        <v>79105.710000000006</v>
      </c>
      <c r="J21" s="90">
        <f t="shared" si="5"/>
        <v>0.53243306365851362</v>
      </c>
      <c r="K21" s="90">
        <f t="shared" si="1"/>
        <v>2.7445127999331878E-4</v>
      </c>
      <c r="L21" s="36">
        <f t="shared" ref="L21:L42" si="9">+I21-H21*50%</f>
        <v>4818.7100000000064</v>
      </c>
    </row>
    <row r="22" spans="1:14" ht="15" x14ac:dyDescent="0.25">
      <c r="A22" s="32"/>
      <c r="B22" s="38"/>
      <c r="C22" s="39" t="s">
        <v>321</v>
      </c>
      <c r="D22" s="88" t="s">
        <v>323</v>
      </c>
      <c r="E22" s="34"/>
      <c r="F22" s="89" t="s">
        <v>8</v>
      </c>
      <c r="G22" s="35">
        <v>190000</v>
      </c>
      <c r="H22" s="35">
        <v>70000</v>
      </c>
      <c r="I22" s="35">
        <v>4390.8999999999996</v>
      </c>
      <c r="J22" s="90">
        <f t="shared" si="5"/>
        <v>6.2727142857142856E-2</v>
      </c>
      <c r="K22" s="90">
        <f t="shared" si="1"/>
        <v>1.5233895572426609E-5</v>
      </c>
      <c r="L22" s="36">
        <f t="shared" si="9"/>
        <v>-30609.1</v>
      </c>
    </row>
    <row r="23" spans="1:14" s="1" customFormat="1" x14ac:dyDescent="0.25">
      <c r="A23" s="31"/>
      <c r="B23" s="81" t="s">
        <v>360</v>
      </c>
      <c r="C23" s="82"/>
      <c r="D23" s="82"/>
      <c r="E23" s="82"/>
      <c r="F23" s="83" t="s">
        <v>9</v>
      </c>
      <c r="G23" s="84">
        <f>SUM(G24:G28)</f>
        <v>37187817</v>
      </c>
      <c r="H23" s="84">
        <f>SUM(H24:H28)</f>
        <v>39098334</v>
      </c>
      <c r="I23" s="84">
        <f t="shared" ref="I23" si="10">SUM(I24:I28)</f>
        <v>2134393.85</v>
      </c>
      <c r="J23" s="85">
        <f t="shared" si="5"/>
        <v>5.4590404031025982E-2</v>
      </c>
      <c r="K23" s="85">
        <f t="shared" si="1"/>
        <v>7.4051180899882916E-3</v>
      </c>
      <c r="L23" s="84">
        <f t="shared" ref="L23" si="11">SUM(L24:L28)</f>
        <v>-17414773.149999999</v>
      </c>
    </row>
    <row r="24" spans="1:14" ht="15" x14ac:dyDescent="0.25">
      <c r="A24" s="32"/>
      <c r="B24" s="37"/>
      <c r="C24" s="39" t="s">
        <v>321</v>
      </c>
      <c r="D24" s="88" t="s">
        <v>323</v>
      </c>
      <c r="E24" s="34" t="s">
        <v>390</v>
      </c>
      <c r="F24" s="89" t="s">
        <v>414</v>
      </c>
      <c r="G24" s="35">
        <v>18293000</v>
      </c>
      <c r="H24" s="35">
        <v>18293000</v>
      </c>
      <c r="I24" s="35">
        <v>1745392</v>
      </c>
      <c r="J24" s="90">
        <f>I24/H24</f>
        <v>9.5413108839446786E-2</v>
      </c>
      <c r="K24" s="90">
        <f>I24/$I$9</f>
        <v>6.055505582215224E-3</v>
      </c>
      <c r="L24" s="36">
        <f>+I24-H24*50%</f>
        <v>-7401108</v>
      </c>
    </row>
    <row r="25" spans="1:14" ht="40.5" customHeight="1" x14ac:dyDescent="0.25">
      <c r="A25" s="32"/>
      <c r="B25" s="37"/>
      <c r="C25" s="39" t="s">
        <v>321</v>
      </c>
      <c r="D25" s="88" t="s">
        <v>323</v>
      </c>
      <c r="E25" s="34" t="s">
        <v>390</v>
      </c>
      <c r="F25" s="89" t="s">
        <v>534</v>
      </c>
      <c r="G25" s="35">
        <v>8992228</v>
      </c>
      <c r="H25" s="35">
        <v>8992228</v>
      </c>
      <c r="I25" s="35">
        <v>197299.85</v>
      </c>
      <c r="J25" s="90">
        <f t="shared" si="5"/>
        <v>2.1941152960089534E-2</v>
      </c>
      <c r="K25" s="90">
        <f t="shared" si="1"/>
        <v>6.8451691255902761E-4</v>
      </c>
      <c r="L25" s="36">
        <f t="shared" si="9"/>
        <v>-4298814.1500000004</v>
      </c>
    </row>
    <row r="26" spans="1:14" ht="39.75" customHeight="1" x14ac:dyDescent="0.25">
      <c r="A26" s="32"/>
      <c r="B26" s="37"/>
      <c r="C26" s="39" t="s">
        <v>321</v>
      </c>
      <c r="D26" s="88" t="s">
        <v>323</v>
      </c>
      <c r="E26" s="34" t="s">
        <v>390</v>
      </c>
      <c r="F26" s="89" t="s">
        <v>415</v>
      </c>
      <c r="G26" s="35">
        <v>5312898</v>
      </c>
      <c r="H26" s="35">
        <v>5312898</v>
      </c>
      <c r="I26" s="35">
        <v>0</v>
      </c>
      <c r="J26" s="90">
        <f t="shared" si="5"/>
        <v>0</v>
      </c>
      <c r="K26" s="90">
        <f t="shared" si="1"/>
        <v>0</v>
      </c>
      <c r="L26" s="36">
        <f t="shared" si="9"/>
        <v>-2656449</v>
      </c>
    </row>
    <row r="27" spans="1:14" ht="39" customHeight="1" x14ac:dyDescent="0.25">
      <c r="A27" s="32"/>
      <c r="B27" s="37"/>
      <c r="C27" s="39" t="s">
        <v>321</v>
      </c>
      <c r="D27" s="88" t="s">
        <v>323</v>
      </c>
      <c r="E27" s="34" t="s">
        <v>390</v>
      </c>
      <c r="F27" s="89" t="s">
        <v>416</v>
      </c>
      <c r="G27" s="35">
        <v>4589691</v>
      </c>
      <c r="H27" s="35">
        <v>4495281</v>
      </c>
      <c r="I27" s="35">
        <v>191702</v>
      </c>
      <c r="J27" s="90">
        <f t="shared" si="5"/>
        <v>4.2645165007482291E-2</v>
      </c>
      <c r="K27" s="90">
        <f t="shared" si="1"/>
        <v>6.650955952140395E-4</v>
      </c>
      <c r="L27" s="36">
        <f t="shared" si="9"/>
        <v>-2055938.5</v>
      </c>
    </row>
    <row r="28" spans="1:14" ht="15" x14ac:dyDescent="0.25">
      <c r="A28" s="32"/>
      <c r="B28" s="37"/>
      <c r="C28" s="39" t="s">
        <v>321</v>
      </c>
      <c r="D28" s="88" t="s">
        <v>323</v>
      </c>
      <c r="E28" s="34" t="s">
        <v>390</v>
      </c>
      <c r="F28" s="89" t="s">
        <v>515</v>
      </c>
      <c r="G28" s="35">
        <v>0</v>
      </c>
      <c r="H28" s="35">
        <v>2004927</v>
      </c>
      <c r="I28" s="35">
        <v>0</v>
      </c>
      <c r="J28" s="90">
        <f>I28/H28</f>
        <v>0</v>
      </c>
      <c r="K28" s="90">
        <f>I28/$I$9</f>
        <v>0</v>
      </c>
      <c r="L28" s="36">
        <f>+I28-H28*50%</f>
        <v>-1002463.5</v>
      </c>
    </row>
    <row r="29" spans="1:14" s="1" customFormat="1" ht="21" customHeight="1" x14ac:dyDescent="0.25">
      <c r="A29" s="31"/>
      <c r="B29" s="81" t="s">
        <v>359</v>
      </c>
      <c r="C29" s="82"/>
      <c r="D29" s="82"/>
      <c r="E29" s="82"/>
      <c r="F29" s="83" t="s">
        <v>12</v>
      </c>
      <c r="G29" s="84">
        <f>+G30</f>
        <v>2500</v>
      </c>
      <c r="H29" s="84">
        <f t="shared" ref="H29:I29" si="12">+H30</f>
        <v>2500</v>
      </c>
      <c r="I29" s="84">
        <f t="shared" si="12"/>
        <v>0</v>
      </c>
      <c r="J29" s="85">
        <f t="shared" si="5"/>
        <v>0</v>
      </c>
      <c r="K29" s="85">
        <f t="shared" si="1"/>
        <v>0</v>
      </c>
      <c r="L29" s="86">
        <f>+I29-H29*50%</f>
        <v>-1250</v>
      </c>
    </row>
    <row r="30" spans="1:14" ht="15" x14ac:dyDescent="0.25">
      <c r="A30" s="32"/>
      <c r="B30" s="33"/>
      <c r="C30" s="39" t="s">
        <v>324</v>
      </c>
      <c r="D30" s="88" t="s">
        <v>320</v>
      </c>
      <c r="E30" s="34"/>
      <c r="F30" s="89" t="s">
        <v>13</v>
      </c>
      <c r="G30" s="35">
        <v>2500</v>
      </c>
      <c r="H30" s="35">
        <v>2500</v>
      </c>
      <c r="I30" s="35">
        <v>0</v>
      </c>
      <c r="J30" s="90">
        <f t="shared" si="5"/>
        <v>0</v>
      </c>
      <c r="K30" s="90">
        <f t="shared" si="1"/>
        <v>0</v>
      </c>
      <c r="L30" s="36">
        <f t="shared" si="9"/>
        <v>-1250</v>
      </c>
    </row>
    <row r="31" spans="1:14" s="1" customFormat="1" ht="24.75" customHeight="1" x14ac:dyDescent="0.25">
      <c r="A31" s="31"/>
      <c r="B31" s="81" t="s">
        <v>358</v>
      </c>
      <c r="C31" s="82"/>
      <c r="D31" s="82"/>
      <c r="E31" s="82"/>
      <c r="F31" s="83" t="s">
        <v>14</v>
      </c>
      <c r="G31" s="84">
        <f>+G32+G33+G34</f>
        <v>317960</v>
      </c>
      <c r="H31" s="84">
        <f>SUM(H32:H34)</f>
        <v>326316</v>
      </c>
      <c r="I31" s="84">
        <f t="shared" ref="I31" si="13">+I32+I33+I34</f>
        <v>154480.70000000001</v>
      </c>
      <c r="J31" s="85">
        <f t="shared" si="5"/>
        <v>0.47340829134948947</v>
      </c>
      <c r="K31" s="85">
        <f t="shared" si="1"/>
        <v>5.3595910901076398E-4</v>
      </c>
      <c r="L31" s="86">
        <f>+I31-H31*50%</f>
        <v>-8677.2999999999884</v>
      </c>
    </row>
    <row r="32" spans="1:14" ht="25.5" x14ac:dyDescent="0.25">
      <c r="A32" s="32"/>
      <c r="B32" s="44"/>
      <c r="C32" s="39" t="s">
        <v>325</v>
      </c>
      <c r="D32" s="88" t="s">
        <v>320</v>
      </c>
      <c r="E32" s="34" t="s">
        <v>390</v>
      </c>
      <c r="F32" s="89" t="s">
        <v>417</v>
      </c>
      <c r="G32" s="35">
        <v>317960</v>
      </c>
      <c r="H32" s="35">
        <v>198300</v>
      </c>
      <c r="I32" s="91">
        <v>32249.75</v>
      </c>
      <c r="J32" s="90">
        <f t="shared" si="5"/>
        <v>0.16263111447302067</v>
      </c>
      <c r="K32" s="90">
        <f t="shared" si="1"/>
        <v>1.1188806935636546E-4</v>
      </c>
      <c r="L32" s="36">
        <f t="shared" si="9"/>
        <v>-66900.25</v>
      </c>
    </row>
    <row r="33" spans="1:12" ht="15" x14ac:dyDescent="0.25">
      <c r="A33" s="32"/>
      <c r="B33" s="37"/>
      <c r="C33" s="39" t="s">
        <v>325</v>
      </c>
      <c r="D33" s="88" t="s">
        <v>320</v>
      </c>
      <c r="E33" s="34"/>
      <c r="F33" s="89" t="s">
        <v>516</v>
      </c>
      <c r="G33" s="35">
        <v>0</v>
      </c>
      <c r="H33" s="35">
        <v>126521</v>
      </c>
      <c r="I33" s="35">
        <v>121737.2</v>
      </c>
      <c r="J33" s="90">
        <f t="shared" si="5"/>
        <v>0.96218967602216232</v>
      </c>
      <c r="K33" s="90">
        <f t="shared" si="1"/>
        <v>4.2235801135976969E-4</v>
      </c>
      <c r="L33" s="36">
        <f t="shared" si="9"/>
        <v>58476.7</v>
      </c>
    </row>
    <row r="34" spans="1:12" ht="15" x14ac:dyDescent="0.25">
      <c r="A34" s="32"/>
      <c r="B34" s="45"/>
      <c r="C34" s="39" t="s">
        <v>325</v>
      </c>
      <c r="D34" s="88" t="s">
        <v>320</v>
      </c>
      <c r="E34" s="34"/>
      <c r="F34" s="89" t="s">
        <v>517</v>
      </c>
      <c r="G34" s="35">
        <v>0</v>
      </c>
      <c r="H34" s="35">
        <v>1495</v>
      </c>
      <c r="I34" s="35">
        <v>493.75</v>
      </c>
      <c r="J34" s="90">
        <f>I34/H34</f>
        <v>0.3302675585284281</v>
      </c>
      <c r="K34" s="90">
        <f t="shared" si="1"/>
        <v>1.7130282946288094E-6</v>
      </c>
      <c r="L34" s="36">
        <f t="shared" si="9"/>
        <v>-253.75</v>
      </c>
    </row>
    <row r="35" spans="1:12" s="1" customFormat="1" x14ac:dyDescent="0.25">
      <c r="A35" s="31"/>
      <c r="B35" s="81" t="s">
        <v>357</v>
      </c>
      <c r="C35" s="82"/>
      <c r="D35" s="82"/>
      <c r="E35" s="82"/>
      <c r="F35" s="83" t="s">
        <v>15</v>
      </c>
      <c r="G35" s="84">
        <f>+G36+G37</f>
        <v>3550000</v>
      </c>
      <c r="H35" s="84">
        <f t="shared" ref="H35:I35" si="14">+H36+H37</f>
        <v>7000000</v>
      </c>
      <c r="I35" s="84">
        <f t="shared" si="14"/>
        <v>7751.07</v>
      </c>
      <c r="J35" s="85">
        <f t="shared" si="5"/>
        <v>1.1072957142857142E-3</v>
      </c>
      <c r="K35" s="85">
        <f t="shared" si="1"/>
        <v>2.6891751339034988E-5</v>
      </c>
      <c r="L35" s="86">
        <f>+I35-H35*50%</f>
        <v>-3492248.93</v>
      </c>
    </row>
    <row r="36" spans="1:12" ht="18.75" customHeight="1" x14ac:dyDescent="0.25">
      <c r="A36" s="32"/>
      <c r="B36" s="44"/>
      <c r="C36" s="39" t="s">
        <v>324</v>
      </c>
      <c r="D36" s="88" t="s">
        <v>320</v>
      </c>
      <c r="E36" s="34"/>
      <c r="F36" s="89" t="s">
        <v>16</v>
      </c>
      <c r="G36" s="35">
        <v>46000</v>
      </c>
      <c r="H36" s="35">
        <v>46000</v>
      </c>
      <c r="I36" s="35">
        <v>7751.07</v>
      </c>
      <c r="J36" s="90">
        <f t="shared" si="5"/>
        <v>0.16850152173913044</v>
      </c>
      <c r="K36" s="90">
        <f t="shared" si="1"/>
        <v>2.6891751339034988E-5</v>
      </c>
      <c r="L36" s="36">
        <f t="shared" si="9"/>
        <v>-15248.93</v>
      </c>
    </row>
    <row r="37" spans="1:12" ht="15" x14ac:dyDescent="0.25">
      <c r="A37" s="32"/>
      <c r="B37" s="38"/>
      <c r="C37" s="39" t="s">
        <v>324</v>
      </c>
      <c r="D37" s="88" t="s">
        <v>323</v>
      </c>
      <c r="E37" s="34"/>
      <c r="F37" s="89" t="s">
        <v>17</v>
      </c>
      <c r="G37" s="35">
        <v>3504000</v>
      </c>
      <c r="H37" s="35">
        <v>6954000</v>
      </c>
      <c r="I37" s="35">
        <v>0</v>
      </c>
      <c r="J37" s="90">
        <f t="shared" si="5"/>
        <v>0</v>
      </c>
      <c r="K37" s="90">
        <f t="shared" si="1"/>
        <v>0</v>
      </c>
      <c r="L37" s="36">
        <f t="shared" si="9"/>
        <v>-3477000</v>
      </c>
    </row>
    <row r="38" spans="1:12" s="1" customFormat="1" ht="18.75" customHeight="1" x14ac:dyDescent="0.25">
      <c r="A38" s="31"/>
      <c r="B38" s="81" t="s">
        <v>356</v>
      </c>
      <c r="C38" s="82"/>
      <c r="D38" s="82"/>
      <c r="E38" s="82"/>
      <c r="F38" s="83" t="s">
        <v>18</v>
      </c>
      <c r="G38" s="84">
        <f>SUM(G39:G42)</f>
        <v>223500</v>
      </c>
      <c r="H38" s="84">
        <f>SUM(H39:H42)</f>
        <v>223500</v>
      </c>
      <c r="I38" s="84">
        <f t="shared" ref="I38" si="15">SUM(I39:I42)</f>
        <v>15220.9</v>
      </c>
      <c r="J38" s="85">
        <f t="shared" si="5"/>
        <v>6.8102460850111859E-2</v>
      </c>
      <c r="K38" s="85">
        <f t="shared" si="1"/>
        <v>5.2807761761449402E-5</v>
      </c>
      <c r="L38" s="84">
        <f t="shared" ref="L38" si="16">SUM(L39:L42)</f>
        <v>-96529.1</v>
      </c>
    </row>
    <row r="39" spans="1:12" ht="15" x14ac:dyDescent="0.25">
      <c r="A39" s="32"/>
      <c r="B39" s="44"/>
      <c r="C39" s="39" t="s">
        <v>325</v>
      </c>
      <c r="D39" s="88" t="s">
        <v>320</v>
      </c>
      <c r="E39" s="34"/>
      <c r="F39" s="89" t="s">
        <v>19</v>
      </c>
      <c r="G39" s="35">
        <v>4500</v>
      </c>
      <c r="H39" s="35">
        <v>4500</v>
      </c>
      <c r="I39" s="35">
        <v>188.9</v>
      </c>
      <c r="J39" s="90">
        <f t="shared" si="5"/>
        <v>4.1977777777777781E-2</v>
      </c>
      <c r="K39" s="90">
        <f t="shared" si="1"/>
        <v>6.5537426806153339E-7</v>
      </c>
      <c r="L39" s="36">
        <f t="shared" si="9"/>
        <v>-2061.1</v>
      </c>
    </row>
    <row r="40" spans="1:12" ht="15" x14ac:dyDescent="0.25">
      <c r="A40" s="32"/>
      <c r="B40" s="37"/>
      <c r="C40" s="39" t="s">
        <v>324</v>
      </c>
      <c r="D40" s="88" t="s">
        <v>320</v>
      </c>
      <c r="E40" s="34"/>
      <c r="F40" s="89" t="s">
        <v>20</v>
      </c>
      <c r="G40" s="35">
        <v>17000</v>
      </c>
      <c r="H40" s="35">
        <v>17000</v>
      </c>
      <c r="I40" s="35">
        <v>0</v>
      </c>
      <c r="J40" s="90">
        <f t="shared" si="5"/>
        <v>0</v>
      </c>
      <c r="K40" s="90">
        <f t="shared" si="1"/>
        <v>0</v>
      </c>
      <c r="L40" s="36">
        <f t="shared" si="9"/>
        <v>-8500</v>
      </c>
    </row>
    <row r="41" spans="1:12" ht="15" x14ac:dyDescent="0.25">
      <c r="A41" s="32"/>
      <c r="B41" s="37"/>
      <c r="C41" s="39" t="s">
        <v>324</v>
      </c>
      <c r="D41" s="88" t="s">
        <v>320</v>
      </c>
      <c r="E41" s="34"/>
      <c r="F41" s="89" t="s">
        <v>13</v>
      </c>
      <c r="G41" s="35">
        <v>137000</v>
      </c>
      <c r="H41" s="35">
        <v>137000</v>
      </c>
      <c r="I41" s="35">
        <v>0</v>
      </c>
      <c r="J41" s="90">
        <f t="shared" si="5"/>
        <v>0</v>
      </c>
      <c r="K41" s="90">
        <f t="shared" si="1"/>
        <v>0</v>
      </c>
      <c r="L41" s="36">
        <f t="shared" si="9"/>
        <v>-68500</v>
      </c>
    </row>
    <row r="42" spans="1:12" ht="15" x14ac:dyDescent="0.25">
      <c r="A42" s="40"/>
      <c r="B42" s="38"/>
      <c r="C42" s="39" t="s">
        <v>324</v>
      </c>
      <c r="D42" s="88" t="s">
        <v>320</v>
      </c>
      <c r="E42" s="34"/>
      <c r="F42" s="89" t="s">
        <v>21</v>
      </c>
      <c r="G42" s="35">
        <v>65000</v>
      </c>
      <c r="H42" s="35">
        <v>65000</v>
      </c>
      <c r="I42" s="35">
        <v>15032</v>
      </c>
      <c r="J42" s="90">
        <f t="shared" si="5"/>
        <v>0.23126153846153846</v>
      </c>
      <c r="K42" s="90">
        <f t="shared" si="1"/>
        <v>5.2152387493387873E-5</v>
      </c>
      <c r="L42" s="36">
        <f t="shared" si="9"/>
        <v>-17468</v>
      </c>
    </row>
    <row r="43" spans="1:12" s="2" customFormat="1" ht="19.5" customHeight="1" x14ac:dyDescent="0.25">
      <c r="A43" s="76" t="s">
        <v>22</v>
      </c>
      <c r="B43" s="77"/>
      <c r="C43" s="164" t="s">
        <v>489</v>
      </c>
      <c r="D43" s="164"/>
      <c r="E43" s="164"/>
      <c r="F43" s="165"/>
      <c r="G43" s="92">
        <f>+G44</f>
        <v>10201042</v>
      </c>
      <c r="H43" s="92">
        <f t="shared" ref="H43:I43" si="17">+H44</f>
        <v>10196527</v>
      </c>
      <c r="I43" s="92">
        <f t="shared" si="17"/>
        <v>3908785.62</v>
      </c>
      <c r="J43" s="93">
        <f t="shared" si="5"/>
        <v>0.38334480161725654</v>
      </c>
      <c r="K43" s="93">
        <f t="shared" si="1"/>
        <v>1.3561236181667267E-2</v>
      </c>
      <c r="L43" s="80">
        <f>+I43-H43*50%</f>
        <v>-1189477.8799999999</v>
      </c>
    </row>
    <row r="44" spans="1:12" s="1" customFormat="1" ht="45.75" customHeight="1" x14ac:dyDescent="0.25">
      <c r="A44" s="31"/>
      <c r="B44" s="81" t="s">
        <v>362</v>
      </c>
      <c r="C44" s="82"/>
      <c r="D44" s="82"/>
      <c r="E44" s="82"/>
      <c r="F44" s="83" t="s">
        <v>23</v>
      </c>
      <c r="G44" s="84">
        <f>+G45+G46+G47</f>
        <v>10201042</v>
      </c>
      <c r="H44" s="84">
        <f t="shared" ref="H44:I44" si="18">+H45+H46+H47</f>
        <v>10196527</v>
      </c>
      <c r="I44" s="84">
        <f t="shared" si="18"/>
        <v>3908785.62</v>
      </c>
      <c r="J44" s="85">
        <f t="shared" si="5"/>
        <v>0.38334480161725654</v>
      </c>
      <c r="K44" s="85">
        <f t="shared" si="1"/>
        <v>1.3561236181667267E-2</v>
      </c>
      <c r="L44" s="86">
        <f>+I44-H44*50%</f>
        <v>-1189477.8799999999</v>
      </c>
    </row>
    <row r="45" spans="1:12" ht="38.25" customHeight="1" x14ac:dyDescent="0.25">
      <c r="A45" s="32"/>
      <c r="B45" s="44"/>
      <c r="C45" s="39" t="s">
        <v>321</v>
      </c>
      <c r="D45" s="88" t="s">
        <v>323</v>
      </c>
      <c r="E45" s="34" t="s">
        <v>390</v>
      </c>
      <c r="F45" s="89" t="s">
        <v>418</v>
      </c>
      <c r="G45" s="35">
        <v>8701042</v>
      </c>
      <c r="H45" s="35">
        <v>8696527</v>
      </c>
      <c r="I45" s="35">
        <v>3426542</v>
      </c>
      <c r="J45" s="90">
        <f t="shared" si="5"/>
        <v>0.39401269035328701</v>
      </c>
      <c r="K45" s="90">
        <f t="shared" si="1"/>
        <v>1.1888128402499219E-2</v>
      </c>
      <c r="L45" s="36">
        <f t="shared" ref="L45:L47" si="19">+I45-H45*50%</f>
        <v>-921721.5</v>
      </c>
    </row>
    <row r="46" spans="1:12" ht="29.25" customHeight="1" x14ac:dyDescent="0.25">
      <c r="A46" s="32"/>
      <c r="B46" s="37"/>
      <c r="C46" s="39" t="s">
        <v>324</v>
      </c>
      <c r="D46" s="88" t="s">
        <v>320</v>
      </c>
      <c r="E46" s="34" t="s">
        <v>390</v>
      </c>
      <c r="F46" s="89" t="s">
        <v>420</v>
      </c>
      <c r="G46" s="35">
        <v>1470000</v>
      </c>
      <c r="H46" s="35">
        <v>1470000</v>
      </c>
      <c r="I46" s="35">
        <v>482243.62</v>
      </c>
      <c r="J46" s="90">
        <f t="shared" si="5"/>
        <v>0.32805688435374147</v>
      </c>
      <c r="K46" s="90">
        <f t="shared" si="1"/>
        <v>1.6731077791680476E-3</v>
      </c>
      <c r="L46" s="36">
        <f t="shared" si="19"/>
        <v>-252756.38</v>
      </c>
    </row>
    <row r="47" spans="1:12" ht="40.5" customHeight="1" x14ac:dyDescent="0.25">
      <c r="A47" s="40"/>
      <c r="B47" s="38"/>
      <c r="C47" s="39" t="s">
        <v>324</v>
      </c>
      <c r="D47" s="88" t="s">
        <v>323</v>
      </c>
      <c r="E47" s="34" t="s">
        <v>390</v>
      </c>
      <c r="F47" s="89" t="s">
        <v>419</v>
      </c>
      <c r="G47" s="35">
        <v>30000</v>
      </c>
      <c r="H47" s="35">
        <v>30000</v>
      </c>
      <c r="I47" s="35">
        <v>0</v>
      </c>
      <c r="J47" s="90">
        <f t="shared" si="5"/>
        <v>0</v>
      </c>
      <c r="K47" s="90">
        <f t="shared" si="1"/>
        <v>0</v>
      </c>
      <c r="L47" s="36">
        <f t="shared" si="19"/>
        <v>-15000</v>
      </c>
    </row>
    <row r="48" spans="1:12" s="2" customFormat="1" ht="19.5" customHeight="1" x14ac:dyDescent="0.25">
      <c r="A48" s="76" t="s">
        <v>24</v>
      </c>
      <c r="B48" s="77"/>
      <c r="C48" s="164" t="s">
        <v>25</v>
      </c>
      <c r="D48" s="164"/>
      <c r="E48" s="164"/>
      <c r="F48" s="165"/>
      <c r="G48" s="92">
        <f>+G49+G63</f>
        <v>20730926</v>
      </c>
      <c r="H48" s="92">
        <f t="shared" ref="H48:I48" si="20">+H49+H63</f>
        <v>27401805</v>
      </c>
      <c r="I48" s="92">
        <f t="shared" si="20"/>
        <v>10108449.91</v>
      </c>
      <c r="J48" s="93">
        <f t="shared" si="5"/>
        <v>0.36889722812055631</v>
      </c>
      <c r="K48" s="93">
        <f t="shared" si="1"/>
        <v>3.5070502705150462E-2</v>
      </c>
      <c r="L48" s="80">
        <f>+I48-H48*50%</f>
        <v>-3592452.59</v>
      </c>
    </row>
    <row r="49" spans="1:13" s="1" customFormat="1" x14ac:dyDescent="0.25">
      <c r="A49" s="31"/>
      <c r="B49" s="81">
        <v>15011</v>
      </c>
      <c r="C49" s="82"/>
      <c r="D49" s="82"/>
      <c r="E49" s="82"/>
      <c r="F49" s="83" t="s">
        <v>26</v>
      </c>
      <c r="G49" s="84">
        <f>+G50+G51+G52+G53+G54+G55+G56+G57+G58+G59+G60+G61+G62</f>
        <v>2945802</v>
      </c>
      <c r="H49" s="84">
        <f t="shared" ref="H49:I49" si="21">+H50+H51+H52+H53+H54+H55+H56+H57+H58+H59+H60+H61+H62</f>
        <v>9405184</v>
      </c>
      <c r="I49" s="84">
        <f t="shared" si="21"/>
        <v>5219701.5500000007</v>
      </c>
      <c r="J49" s="85">
        <f t="shared" si="5"/>
        <v>0.55498133263527871</v>
      </c>
      <c r="K49" s="85">
        <f t="shared" si="1"/>
        <v>1.8109359887934894E-2</v>
      </c>
      <c r="L49" s="86">
        <f>+I49-H49*50%</f>
        <v>517109.55000000075</v>
      </c>
    </row>
    <row r="50" spans="1:13" ht="15" x14ac:dyDescent="0.25">
      <c r="A50" s="32"/>
      <c r="B50" s="44"/>
      <c r="C50" s="39" t="s">
        <v>326</v>
      </c>
      <c r="D50" s="88" t="s">
        <v>320</v>
      </c>
      <c r="E50" s="34"/>
      <c r="F50" s="89" t="s">
        <v>27</v>
      </c>
      <c r="G50" s="35">
        <v>100000</v>
      </c>
      <c r="H50" s="35">
        <v>90000</v>
      </c>
      <c r="I50" s="35">
        <v>8842.52</v>
      </c>
      <c r="J50" s="90">
        <f t="shared" si="5"/>
        <v>9.8250222222222225E-2</v>
      </c>
      <c r="K50" s="90">
        <f t="shared" si="1"/>
        <v>3.0678454594068132E-5</v>
      </c>
      <c r="L50" s="36">
        <f t="shared" ref="L50:L67" si="22">+I50-H50*50%</f>
        <v>-36157.479999999996</v>
      </c>
    </row>
    <row r="51" spans="1:13" ht="15" x14ac:dyDescent="0.25">
      <c r="A51" s="32"/>
      <c r="B51" s="37"/>
      <c r="C51" s="39" t="s">
        <v>326</v>
      </c>
      <c r="D51" s="88" t="s">
        <v>323</v>
      </c>
      <c r="E51" s="34"/>
      <c r="F51" s="89" t="s">
        <v>28</v>
      </c>
      <c r="G51" s="35">
        <v>2000000</v>
      </c>
      <c r="H51" s="35">
        <v>6000000</v>
      </c>
      <c r="I51" s="35">
        <v>4527859</v>
      </c>
      <c r="J51" s="90">
        <f t="shared" si="5"/>
        <v>0.75464316666666664</v>
      </c>
      <c r="K51" s="90">
        <f t="shared" si="1"/>
        <v>1.5709064468029783E-2</v>
      </c>
      <c r="L51" s="36">
        <f t="shared" si="22"/>
        <v>1527859</v>
      </c>
    </row>
    <row r="52" spans="1:13" ht="15" x14ac:dyDescent="0.25">
      <c r="A52" s="32"/>
      <c r="B52" s="37"/>
      <c r="C52" s="39" t="s">
        <v>326</v>
      </c>
      <c r="D52" s="88" t="s">
        <v>323</v>
      </c>
      <c r="E52" s="34"/>
      <c r="F52" s="89" t="s">
        <v>29</v>
      </c>
      <c r="G52" s="35">
        <v>0</v>
      </c>
      <c r="H52" s="35">
        <v>496504</v>
      </c>
      <c r="I52" s="35">
        <v>467691.94</v>
      </c>
      <c r="J52" s="90">
        <f t="shared" si="5"/>
        <v>0.941970135185215</v>
      </c>
      <c r="K52" s="90">
        <f t="shared" si="1"/>
        <v>1.6226218255996749E-3</v>
      </c>
      <c r="L52" s="36">
        <f t="shared" si="22"/>
        <v>219439.94</v>
      </c>
    </row>
    <row r="53" spans="1:13" ht="25.5" x14ac:dyDescent="0.25">
      <c r="A53" s="32"/>
      <c r="B53" s="37"/>
      <c r="C53" s="39" t="s">
        <v>490</v>
      </c>
      <c r="D53" s="88" t="s">
        <v>320</v>
      </c>
      <c r="E53" s="34"/>
      <c r="F53" s="89" t="s">
        <v>473</v>
      </c>
      <c r="G53" s="35">
        <v>200000</v>
      </c>
      <c r="H53" s="35">
        <v>199700</v>
      </c>
      <c r="I53" s="35">
        <v>142470.54</v>
      </c>
      <c r="J53" s="90">
        <f t="shared" si="5"/>
        <v>0.71342283425137709</v>
      </c>
      <c r="K53" s="90">
        <f t="shared" si="1"/>
        <v>4.9429076692869989E-4</v>
      </c>
      <c r="L53" s="36">
        <f t="shared" si="22"/>
        <v>42620.540000000008</v>
      </c>
    </row>
    <row r="54" spans="1:13" ht="38.25" x14ac:dyDescent="0.25">
      <c r="A54" s="40"/>
      <c r="B54" s="134"/>
      <c r="C54" s="39" t="s">
        <v>490</v>
      </c>
      <c r="D54" s="88" t="s">
        <v>320</v>
      </c>
      <c r="E54" s="34" t="s">
        <v>390</v>
      </c>
      <c r="F54" s="89" t="s">
        <v>421</v>
      </c>
      <c r="G54" s="35">
        <v>281862</v>
      </c>
      <c r="H54" s="35">
        <v>281862</v>
      </c>
      <c r="I54" s="35">
        <v>0</v>
      </c>
      <c r="J54" s="90">
        <f t="shared" si="5"/>
        <v>0</v>
      </c>
      <c r="K54" s="90">
        <f t="shared" si="1"/>
        <v>0</v>
      </c>
      <c r="L54" s="36">
        <f t="shared" si="22"/>
        <v>-140931</v>
      </c>
    </row>
    <row r="55" spans="1:13" ht="38.25" x14ac:dyDescent="0.25">
      <c r="A55" s="32"/>
      <c r="B55" s="41"/>
      <c r="C55" s="39" t="s">
        <v>490</v>
      </c>
      <c r="D55" s="88" t="s">
        <v>320</v>
      </c>
      <c r="E55" s="34"/>
      <c r="F55" s="89" t="s">
        <v>518</v>
      </c>
      <c r="G55" s="35">
        <v>0</v>
      </c>
      <c r="H55" s="35">
        <v>1973000</v>
      </c>
      <c r="I55" s="35">
        <v>0</v>
      </c>
      <c r="J55" s="90">
        <f t="shared" si="5"/>
        <v>0</v>
      </c>
      <c r="K55" s="90">
        <f t="shared" si="1"/>
        <v>0</v>
      </c>
      <c r="L55" s="36">
        <f t="shared" si="22"/>
        <v>-986500</v>
      </c>
    </row>
    <row r="56" spans="1:13" ht="15" x14ac:dyDescent="0.25">
      <c r="A56" s="32"/>
      <c r="B56" s="41"/>
      <c r="C56" s="39" t="s">
        <v>490</v>
      </c>
      <c r="D56" s="34" t="s">
        <v>320</v>
      </c>
      <c r="E56" s="34"/>
      <c r="F56" s="89" t="s">
        <v>30</v>
      </c>
      <c r="G56" s="35">
        <v>0</v>
      </c>
      <c r="H56" s="35">
        <v>300</v>
      </c>
      <c r="I56" s="35">
        <v>235.11</v>
      </c>
      <c r="J56" s="90">
        <f t="shared" si="5"/>
        <v>0.78370000000000006</v>
      </c>
      <c r="K56" s="90">
        <f t="shared" si="1"/>
        <v>8.1569636931681906E-7</v>
      </c>
      <c r="L56" s="36">
        <f t="shared" si="22"/>
        <v>85.110000000000014</v>
      </c>
    </row>
    <row r="57" spans="1:13" ht="25.5" x14ac:dyDescent="0.25">
      <c r="A57" s="32"/>
      <c r="B57" s="41"/>
      <c r="C57" s="39" t="s">
        <v>327</v>
      </c>
      <c r="D57" s="34" t="s">
        <v>320</v>
      </c>
      <c r="E57" s="34"/>
      <c r="F57" s="89" t="s">
        <v>31</v>
      </c>
      <c r="G57" s="35">
        <v>28000</v>
      </c>
      <c r="H57" s="35">
        <v>28000</v>
      </c>
      <c r="I57" s="35">
        <v>0</v>
      </c>
      <c r="J57" s="90">
        <f t="shared" si="5"/>
        <v>0</v>
      </c>
      <c r="K57" s="90">
        <f t="shared" si="1"/>
        <v>0</v>
      </c>
      <c r="L57" s="36">
        <f t="shared" si="22"/>
        <v>-14000</v>
      </c>
    </row>
    <row r="58" spans="1:13" ht="25.5" x14ac:dyDescent="0.25">
      <c r="A58" s="32"/>
      <c r="B58" s="41"/>
      <c r="C58" s="39" t="s">
        <v>329</v>
      </c>
      <c r="D58" s="34" t="s">
        <v>320</v>
      </c>
      <c r="E58" s="34"/>
      <c r="F58" s="89" t="s">
        <v>32</v>
      </c>
      <c r="G58" s="35">
        <v>100000</v>
      </c>
      <c r="H58" s="35">
        <v>104000</v>
      </c>
      <c r="I58" s="35">
        <v>43500</v>
      </c>
      <c r="J58" s="90">
        <f t="shared" si="5"/>
        <v>0.41826923076923078</v>
      </c>
      <c r="K58" s="90">
        <f t="shared" si="1"/>
        <v>1.5091996114704448E-4</v>
      </c>
      <c r="L58" s="36">
        <f t="shared" si="22"/>
        <v>-8500</v>
      </c>
    </row>
    <row r="59" spans="1:13" ht="38.25" x14ac:dyDescent="0.25">
      <c r="A59" s="32"/>
      <c r="B59" s="41"/>
      <c r="C59" s="39" t="s">
        <v>329</v>
      </c>
      <c r="D59" s="34" t="s">
        <v>320</v>
      </c>
      <c r="E59" s="34"/>
      <c r="F59" s="89" t="s">
        <v>33</v>
      </c>
      <c r="G59" s="35">
        <v>50000</v>
      </c>
      <c r="H59" s="35">
        <v>50000</v>
      </c>
      <c r="I59" s="35">
        <v>0</v>
      </c>
      <c r="J59" s="90">
        <f t="shared" si="5"/>
        <v>0</v>
      </c>
      <c r="K59" s="90">
        <f t="shared" si="1"/>
        <v>0</v>
      </c>
      <c r="L59" s="36">
        <f t="shared" si="22"/>
        <v>-25000</v>
      </c>
    </row>
    <row r="60" spans="1:13" ht="15" x14ac:dyDescent="0.25">
      <c r="A60" s="32"/>
      <c r="B60" s="37"/>
      <c r="C60" s="39" t="s">
        <v>329</v>
      </c>
      <c r="D60" s="88" t="s">
        <v>320</v>
      </c>
      <c r="E60" s="34"/>
      <c r="F60" s="89" t="s">
        <v>34</v>
      </c>
      <c r="G60" s="35">
        <v>70000</v>
      </c>
      <c r="H60" s="35">
        <v>70000</v>
      </c>
      <c r="I60" s="35">
        <v>1400</v>
      </c>
      <c r="J60" s="90">
        <f t="shared" si="5"/>
        <v>0.02</v>
      </c>
      <c r="K60" s="90">
        <f t="shared" si="1"/>
        <v>4.8571941518589028E-6</v>
      </c>
      <c r="L60" s="36">
        <f t="shared" si="22"/>
        <v>-33600</v>
      </c>
    </row>
    <row r="61" spans="1:13" ht="15" x14ac:dyDescent="0.25">
      <c r="A61" s="32"/>
      <c r="B61" s="37"/>
      <c r="C61" s="39" t="s">
        <v>329</v>
      </c>
      <c r="D61" s="88" t="s">
        <v>320</v>
      </c>
      <c r="E61" s="34"/>
      <c r="F61" s="89" t="s">
        <v>35</v>
      </c>
      <c r="G61" s="35">
        <v>50000</v>
      </c>
      <c r="H61" s="35">
        <v>45878</v>
      </c>
      <c r="I61" s="35">
        <v>20750</v>
      </c>
      <c r="J61" s="90">
        <f t="shared" si="5"/>
        <v>0.45228649897554385</v>
      </c>
      <c r="K61" s="90">
        <f t="shared" si="1"/>
        <v>7.1990556179337307E-5</v>
      </c>
      <c r="L61" s="36">
        <f t="shared" si="22"/>
        <v>-2189</v>
      </c>
    </row>
    <row r="62" spans="1:13" ht="25.5" x14ac:dyDescent="0.25">
      <c r="A62" s="32"/>
      <c r="B62" s="38"/>
      <c r="C62" s="39" t="s">
        <v>328</v>
      </c>
      <c r="D62" s="88" t="s">
        <v>320</v>
      </c>
      <c r="E62" s="34"/>
      <c r="F62" s="89" t="s">
        <v>36</v>
      </c>
      <c r="G62" s="35">
        <v>65940</v>
      </c>
      <c r="H62" s="35">
        <v>65940</v>
      </c>
      <c r="I62" s="35">
        <v>6952.44</v>
      </c>
      <c r="J62" s="90">
        <f t="shared" si="5"/>
        <v>0.10543585077343039</v>
      </c>
      <c r="K62" s="90">
        <f t="shared" si="1"/>
        <v>2.4120964935107074E-5</v>
      </c>
      <c r="L62" s="36">
        <f t="shared" si="22"/>
        <v>-26017.56</v>
      </c>
    </row>
    <row r="63" spans="1:13" s="1" customFormat="1" ht="33" x14ac:dyDescent="0.25">
      <c r="A63" s="31"/>
      <c r="B63" s="81" t="s">
        <v>413</v>
      </c>
      <c r="C63" s="82"/>
      <c r="D63" s="82"/>
      <c r="E63" s="82"/>
      <c r="F63" s="83" t="s">
        <v>472</v>
      </c>
      <c r="G63" s="84">
        <f>+G64+G65+G66+G67</f>
        <v>17785124</v>
      </c>
      <c r="H63" s="84">
        <f t="shared" ref="H63:I63" si="23">+H64+H65+H66+H67</f>
        <v>17996621</v>
      </c>
      <c r="I63" s="84">
        <f t="shared" si="23"/>
        <v>4888748.3599999994</v>
      </c>
      <c r="J63" s="85">
        <f t="shared" si="5"/>
        <v>0.27164812550089262</v>
      </c>
      <c r="K63" s="85">
        <f t="shared" si="1"/>
        <v>1.6961142817215568E-2</v>
      </c>
      <c r="L63" s="86">
        <f>+I63-H63*50%</f>
        <v>-4109562.1400000006</v>
      </c>
      <c r="M63" s="23">
        <f>+L63+L368-L369-L370+L364</f>
        <v>-14564366.309999999</v>
      </c>
    </row>
    <row r="64" spans="1:13" ht="15" x14ac:dyDescent="0.25">
      <c r="A64" s="32"/>
      <c r="B64" s="37"/>
      <c r="C64" s="39" t="s">
        <v>330</v>
      </c>
      <c r="D64" s="88" t="s">
        <v>320</v>
      </c>
      <c r="E64" s="34"/>
      <c r="F64" s="89" t="s">
        <v>37</v>
      </c>
      <c r="G64" s="35">
        <v>3450000</v>
      </c>
      <c r="H64" s="35">
        <v>3450000</v>
      </c>
      <c r="I64" s="35">
        <v>570052.06999999995</v>
      </c>
      <c r="J64" s="90">
        <f t="shared" si="5"/>
        <v>0.165232484057971</v>
      </c>
      <c r="K64" s="90">
        <f t="shared" si="1"/>
        <v>1.9777525576136152E-3</v>
      </c>
      <c r="L64" s="36">
        <f t="shared" si="22"/>
        <v>-1154947.9300000002</v>
      </c>
    </row>
    <row r="65" spans="1:12" ht="15" x14ac:dyDescent="0.25">
      <c r="A65" s="32"/>
      <c r="B65" s="37"/>
      <c r="C65" s="39" t="s">
        <v>330</v>
      </c>
      <c r="D65" s="88" t="s">
        <v>320</v>
      </c>
      <c r="E65" s="34"/>
      <c r="F65" s="89" t="s">
        <v>38</v>
      </c>
      <c r="G65" s="35">
        <v>10792574</v>
      </c>
      <c r="H65" s="35">
        <v>10761922</v>
      </c>
      <c r="I65" s="35">
        <v>2866167.59</v>
      </c>
      <c r="J65" s="90">
        <f t="shared" si="5"/>
        <v>0.26632488044421804</v>
      </c>
      <c r="K65" s="90">
        <f t="shared" si="1"/>
        <v>9.9439517545682303E-3</v>
      </c>
      <c r="L65" s="36">
        <f t="shared" si="22"/>
        <v>-2514793.41</v>
      </c>
    </row>
    <row r="66" spans="1:12" ht="15" x14ac:dyDescent="0.25">
      <c r="A66" s="32"/>
      <c r="B66" s="37"/>
      <c r="C66" s="39" t="s">
        <v>330</v>
      </c>
      <c r="D66" s="88" t="s">
        <v>320</v>
      </c>
      <c r="E66" s="34"/>
      <c r="F66" s="89" t="s">
        <v>39</v>
      </c>
      <c r="G66" s="35">
        <v>1410000</v>
      </c>
      <c r="H66" s="35">
        <v>1580000</v>
      </c>
      <c r="I66" s="35">
        <v>547474.96</v>
      </c>
      <c r="J66" s="90">
        <f t="shared" si="5"/>
        <v>0.3465031392405063</v>
      </c>
      <c r="K66" s="90">
        <f t="shared" si="1"/>
        <v>1.8994229814294189E-3</v>
      </c>
      <c r="L66" s="36">
        <f t="shared" si="22"/>
        <v>-242525.04000000004</v>
      </c>
    </row>
    <row r="67" spans="1:12" ht="25.5" x14ac:dyDescent="0.25">
      <c r="A67" s="32"/>
      <c r="B67" s="37"/>
      <c r="C67" s="94" t="s">
        <v>330</v>
      </c>
      <c r="D67" s="95" t="s">
        <v>320</v>
      </c>
      <c r="E67" s="96" t="s">
        <v>390</v>
      </c>
      <c r="F67" s="97" t="s">
        <v>422</v>
      </c>
      <c r="G67" s="98">
        <v>2132550</v>
      </c>
      <c r="H67" s="98">
        <v>2204699</v>
      </c>
      <c r="I67" s="98">
        <v>905053.74</v>
      </c>
      <c r="J67" s="99">
        <f t="shared" si="5"/>
        <v>0.41051124892785817</v>
      </c>
      <c r="K67" s="99">
        <f t="shared" si="1"/>
        <v>3.1400155236043052E-3</v>
      </c>
      <c r="L67" s="36">
        <f t="shared" si="22"/>
        <v>-197295.76</v>
      </c>
    </row>
    <row r="68" spans="1:12" s="2" customFormat="1" ht="34.5" customHeight="1" x14ac:dyDescent="0.25">
      <c r="A68" s="76" t="s">
        <v>40</v>
      </c>
      <c r="B68" s="77"/>
      <c r="C68" s="194" t="s">
        <v>388</v>
      </c>
      <c r="D68" s="194"/>
      <c r="E68" s="194"/>
      <c r="F68" s="195"/>
      <c r="G68" s="92">
        <f>+G69</f>
        <v>35000</v>
      </c>
      <c r="H68" s="92">
        <f t="shared" ref="H68:I68" si="24">+H69</f>
        <v>236755</v>
      </c>
      <c r="I68" s="92">
        <f t="shared" si="24"/>
        <v>212844.6</v>
      </c>
      <c r="J68" s="93">
        <f t="shared" si="5"/>
        <v>0.89900783510379934</v>
      </c>
      <c r="K68" s="93">
        <f t="shared" si="1"/>
        <v>7.3844824741053385E-4</v>
      </c>
      <c r="L68" s="80">
        <f>+I68-H68*50%</f>
        <v>94467.1</v>
      </c>
    </row>
    <row r="69" spans="1:12" s="1" customFormat="1" x14ac:dyDescent="0.25">
      <c r="A69" s="31"/>
      <c r="B69" s="81">
        <v>40095</v>
      </c>
      <c r="C69" s="82"/>
      <c r="D69" s="82"/>
      <c r="E69" s="82"/>
      <c r="F69" s="83" t="s">
        <v>18</v>
      </c>
      <c r="G69" s="84">
        <f>+G70+G71+G72</f>
        <v>35000</v>
      </c>
      <c r="H69" s="84">
        <f t="shared" ref="H69:I69" si="25">+H70+H71+H72</f>
        <v>236755</v>
      </c>
      <c r="I69" s="84">
        <f t="shared" si="25"/>
        <v>212844.6</v>
      </c>
      <c r="J69" s="85">
        <f t="shared" si="5"/>
        <v>0.89900783510379934</v>
      </c>
      <c r="K69" s="85">
        <f t="shared" si="1"/>
        <v>7.3844824741053385E-4</v>
      </c>
      <c r="L69" s="86">
        <f>+I69-H69*50%</f>
        <v>94467.1</v>
      </c>
    </row>
    <row r="70" spans="1:12" ht="15" x14ac:dyDescent="0.25">
      <c r="A70" s="32"/>
      <c r="B70" s="44"/>
      <c r="C70" s="39" t="s">
        <v>326</v>
      </c>
      <c r="D70" s="88" t="s">
        <v>323</v>
      </c>
      <c r="E70" s="34"/>
      <c r="F70" s="89" t="s">
        <v>41</v>
      </c>
      <c r="G70" s="35">
        <v>0</v>
      </c>
      <c r="H70" s="35">
        <v>211755</v>
      </c>
      <c r="I70" s="35">
        <v>211754.4</v>
      </c>
      <c r="J70" s="90">
        <f t="shared" si="5"/>
        <v>0.9999971665367996</v>
      </c>
      <c r="K70" s="90">
        <f t="shared" si="1"/>
        <v>7.3466588093599333E-4</v>
      </c>
      <c r="L70" s="36">
        <f t="shared" ref="L70:L72" si="26">+I70-H70*50%</f>
        <v>105876.9</v>
      </c>
    </row>
    <row r="71" spans="1:12" ht="51" x14ac:dyDescent="0.25">
      <c r="A71" s="32"/>
      <c r="B71" s="37"/>
      <c r="C71" s="87" t="s">
        <v>331</v>
      </c>
      <c r="D71" s="88" t="s">
        <v>320</v>
      </c>
      <c r="E71" s="34"/>
      <c r="F71" s="89" t="s">
        <v>42</v>
      </c>
      <c r="G71" s="35">
        <v>15000</v>
      </c>
      <c r="H71" s="35">
        <v>15000</v>
      </c>
      <c r="I71" s="35">
        <v>1090.2</v>
      </c>
      <c r="J71" s="90">
        <f t="shared" si="5"/>
        <v>7.2680000000000008E-2</v>
      </c>
      <c r="K71" s="90">
        <f t="shared" si="1"/>
        <v>3.782366474540411E-6</v>
      </c>
      <c r="L71" s="36">
        <f t="shared" si="26"/>
        <v>-6409.8</v>
      </c>
    </row>
    <row r="72" spans="1:12" ht="51" x14ac:dyDescent="0.25">
      <c r="A72" s="40"/>
      <c r="B72" s="38"/>
      <c r="C72" s="87" t="s">
        <v>331</v>
      </c>
      <c r="D72" s="88" t="s">
        <v>320</v>
      </c>
      <c r="E72" s="34"/>
      <c r="F72" s="89" t="s">
        <v>474</v>
      </c>
      <c r="G72" s="35">
        <v>20000</v>
      </c>
      <c r="H72" s="35">
        <v>10000</v>
      </c>
      <c r="I72" s="35">
        <v>0</v>
      </c>
      <c r="J72" s="90">
        <f t="shared" si="5"/>
        <v>0</v>
      </c>
      <c r="K72" s="90">
        <f t="shared" si="1"/>
        <v>0</v>
      </c>
      <c r="L72" s="36">
        <f t="shared" si="26"/>
        <v>-5000</v>
      </c>
    </row>
    <row r="73" spans="1:12" s="2" customFormat="1" ht="15.75" x14ac:dyDescent="0.25">
      <c r="A73" s="76" t="s">
        <v>43</v>
      </c>
      <c r="B73" s="77"/>
      <c r="C73" s="164" t="s">
        <v>44</v>
      </c>
      <c r="D73" s="164"/>
      <c r="E73" s="164"/>
      <c r="F73" s="165"/>
      <c r="G73" s="92">
        <f>+G74+G88+G90+G136+G138+G141</f>
        <v>426466763</v>
      </c>
      <c r="H73" s="92">
        <f>+H74+H88+H90+H136+H138+H141</f>
        <v>419755790</v>
      </c>
      <c r="I73" s="92">
        <f>+I74+I88+I90+I136+I138+I141</f>
        <v>118886356.19999999</v>
      </c>
      <c r="J73" s="93">
        <f t="shared" si="5"/>
        <v>0.28322743612422829</v>
      </c>
      <c r="K73" s="93">
        <f t="shared" si="1"/>
        <v>0.41246722433603877</v>
      </c>
      <c r="L73" s="80">
        <f>+I73-H73*50%</f>
        <v>-90991538.800000012</v>
      </c>
    </row>
    <row r="74" spans="1:12" s="1" customFormat="1" x14ac:dyDescent="0.25">
      <c r="A74" s="31"/>
      <c r="B74" s="81" t="s">
        <v>412</v>
      </c>
      <c r="C74" s="82"/>
      <c r="D74" s="82"/>
      <c r="E74" s="82"/>
      <c r="F74" s="83" t="s">
        <v>45</v>
      </c>
      <c r="G74" s="84">
        <f>+G75+G76+G77+G78+G79+G80+G81+G82+G83+G84+G85+G86+G87</f>
        <v>98098000</v>
      </c>
      <c r="H74" s="84">
        <f t="shared" ref="H74:I74" si="27">+H75+H76+H77+H78+H79+H80+H81+H82+H83+H84+H85+H86+H87</f>
        <v>100116500</v>
      </c>
      <c r="I74" s="84">
        <f t="shared" si="27"/>
        <v>40904496.419999994</v>
      </c>
      <c r="J74" s="85">
        <f t="shared" si="5"/>
        <v>0.40856898133674263</v>
      </c>
      <c r="K74" s="85">
        <f t="shared" ref="K74:K139" si="28">I74/$I$9</f>
        <v>0.14191505771139812</v>
      </c>
      <c r="L74" s="86">
        <f>+I74-H74*50%</f>
        <v>-9153753.5800000057</v>
      </c>
    </row>
    <row r="75" spans="1:12" ht="23.25" customHeight="1" x14ac:dyDescent="0.25">
      <c r="A75" s="32"/>
      <c r="B75" s="44"/>
      <c r="C75" s="87" t="s">
        <v>331</v>
      </c>
      <c r="D75" s="88" t="s">
        <v>320</v>
      </c>
      <c r="E75" s="34"/>
      <c r="F75" s="89" t="s">
        <v>46</v>
      </c>
      <c r="G75" s="35">
        <v>75000000</v>
      </c>
      <c r="H75" s="35">
        <v>74500000</v>
      </c>
      <c r="I75" s="35">
        <v>40168219.420000002</v>
      </c>
      <c r="J75" s="90">
        <f t="shared" si="5"/>
        <v>0.53917073046979869</v>
      </c>
      <c r="K75" s="90">
        <f t="shared" si="28"/>
        <v>0.13936060032672085</v>
      </c>
      <c r="L75" s="36">
        <f t="shared" ref="L75:L139" si="29">+I75-H75*50%</f>
        <v>2918219.4200000018</v>
      </c>
    </row>
    <row r="76" spans="1:12" ht="23.25" customHeight="1" x14ac:dyDescent="0.25">
      <c r="A76" s="32"/>
      <c r="B76" s="37"/>
      <c r="C76" s="87" t="s">
        <v>331</v>
      </c>
      <c r="D76" s="88" t="s">
        <v>320</v>
      </c>
      <c r="E76" s="34"/>
      <c r="F76" s="89" t="s">
        <v>519</v>
      </c>
      <c r="G76" s="35">
        <v>0</v>
      </c>
      <c r="H76" s="35">
        <v>216000</v>
      </c>
      <c r="I76" s="35">
        <v>0</v>
      </c>
      <c r="J76" s="90">
        <f t="shared" si="5"/>
        <v>0</v>
      </c>
      <c r="K76" s="90">
        <f t="shared" si="28"/>
        <v>0</v>
      </c>
      <c r="L76" s="36">
        <f t="shared" si="29"/>
        <v>-108000</v>
      </c>
    </row>
    <row r="77" spans="1:12" ht="25.5" x14ac:dyDescent="0.25">
      <c r="A77" s="32"/>
      <c r="B77" s="37"/>
      <c r="C77" s="87" t="s">
        <v>331</v>
      </c>
      <c r="D77" s="88" t="s">
        <v>320</v>
      </c>
      <c r="E77" s="34"/>
      <c r="F77" s="89" t="s">
        <v>475</v>
      </c>
      <c r="G77" s="35">
        <v>780000</v>
      </c>
      <c r="H77" s="35">
        <v>600000</v>
      </c>
      <c r="I77" s="35">
        <v>0</v>
      </c>
      <c r="J77" s="90">
        <f t="shared" si="5"/>
        <v>0</v>
      </c>
      <c r="K77" s="90">
        <f t="shared" si="28"/>
        <v>0</v>
      </c>
      <c r="L77" s="36">
        <f t="shared" si="29"/>
        <v>-300000</v>
      </c>
    </row>
    <row r="78" spans="1:12" ht="25.5" x14ac:dyDescent="0.25">
      <c r="A78" s="32"/>
      <c r="B78" s="37"/>
      <c r="C78" s="87" t="s">
        <v>331</v>
      </c>
      <c r="D78" s="88" t="s">
        <v>320</v>
      </c>
      <c r="E78" s="34"/>
      <c r="F78" s="89" t="s">
        <v>47</v>
      </c>
      <c r="G78" s="35">
        <v>250000</v>
      </c>
      <c r="H78" s="35">
        <v>100000</v>
      </c>
      <c r="I78" s="35">
        <v>0</v>
      </c>
      <c r="J78" s="90">
        <f t="shared" si="5"/>
        <v>0</v>
      </c>
      <c r="K78" s="90">
        <f t="shared" si="28"/>
        <v>0</v>
      </c>
      <c r="L78" s="36">
        <f t="shared" si="29"/>
        <v>-50000</v>
      </c>
    </row>
    <row r="79" spans="1:12" ht="15" x14ac:dyDescent="0.25">
      <c r="A79" s="32"/>
      <c r="B79" s="37"/>
      <c r="C79" s="87" t="s">
        <v>331</v>
      </c>
      <c r="D79" s="88" t="s">
        <v>320</v>
      </c>
      <c r="E79" s="34"/>
      <c r="F79" s="89" t="s">
        <v>48</v>
      </c>
      <c r="G79" s="35">
        <v>0</v>
      </c>
      <c r="H79" s="35">
        <v>2300000</v>
      </c>
      <c r="I79" s="35">
        <v>0</v>
      </c>
      <c r="J79" s="90">
        <f t="shared" si="5"/>
        <v>0</v>
      </c>
      <c r="K79" s="90">
        <f t="shared" si="28"/>
        <v>0</v>
      </c>
      <c r="L79" s="36">
        <f t="shared" si="29"/>
        <v>-1150000</v>
      </c>
    </row>
    <row r="80" spans="1:12" ht="25.5" x14ac:dyDescent="0.25">
      <c r="A80" s="32"/>
      <c r="B80" s="37"/>
      <c r="C80" s="87" t="s">
        <v>331</v>
      </c>
      <c r="D80" s="88" t="s">
        <v>320</v>
      </c>
      <c r="E80" s="34"/>
      <c r="F80" s="89" t="s">
        <v>49</v>
      </c>
      <c r="G80" s="35">
        <v>200000</v>
      </c>
      <c r="H80" s="35">
        <v>500000</v>
      </c>
      <c r="I80" s="35">
        <v>211416.41</v>
      </c>
      <c r="J80" s="90">
        <f t="shared" ref="J80:J143" si="30">I80/H80</f>
        <v>0.42283282</v>
      </c>
      <c r="K80" s="90">
        <f t="shared" si="28"/>
        <v>7.3349325018500281E-4</v>
      </c>
      <c r="L80" s="36">
        <f t="shared" si="29"/>
        <v>-38583.589999999997</v>
      </c>
    </row>
    <row r="81" spans="1:12" ht="15" x14ac:dyDescent="0.25">
      <c r="A81" s="32"/>
      <c r="B81" s="37"/>
      <c r="C81" s="87" t="s">
        <v>331</v>
      </c>
      <c r="D81" s="88" t="s">
        <v>320</v>
      </c>
      <c r="E81" s="34"/>
      <c r="F81" s="89" t="s">
        <v>50</v>
      </c>
      <c r="G81" s="35">
        <v>0</v>
      </c>
      <c r="H81" s="35">
        <v>2500500</v>
      </c>
      <c r="I81" s="35">
        <v>500</v>
      </c>
      <c r="J81" s="90">
        <f t="shared" si="30"/>
        <v>1.9996000799840031E-4</v>
      </c>
      <c r="K81" s="90">
        <f t="shared" si="28"/>
        <v>1.7347121970924651E-6</v>
      </c>
      <c r="L81" s="36">
        <f t="shared" si="29"/>
        <v>-1249750</v>
      </c>
    </row>
    <row r="82" spans="1:12" ht="15" x14ac:dyDescent="0.25">
      <c r="A82" s="32"/>
      <c r="B82" s="37"/>
      <c r="C82" s="87" t="s">
        <v>331</v>
      </c>
      <c r="D82" s="88" t="s">
        <v>320</v>
      </c>
      <c r="E82" s="34"/>
      <c r="F82" s="89" t="s">
        <v>51</v>
      </c>
      <c r="G82" s="35">
        <v>1150000</v>
      </c>
      <c r="H82" s="35">
        <v>1150000</v>
      </c>
      <c r="I82" s="35">
        <v>453043.36</v>
      </c>
      <c r="J82" s="90">
        <f t="shared" si="30"/>
        <v>0.39395074782608697</v>
      </c>
      <c r="K82" s="90">
        <f t="shared" si="28"/>
        <v>1.5717996848075052E-3</v>
      </c>
      <c r="L82" s="36">
        <f t="shared" si="29"/>
        <v>-121956.64000000001</v>
      </c>
    </row>
    <row r="83" spans="1:12" ht="19.5" customHeight="1" x14ac:dyDescent="0.25">
      <c r="A83" s="32"/>
      <c r="B83" s="37"/>
      <c r="C83" s="87" t="s">
        <v>331</v>
      </c>
      <c r="D83" s="88" t="s">
        <v>320</v>
      </c>
      <c r="E83" s="34"/>
      <c r="F83" s="100" t="s">
        <v>52</v>
      </c>
      <c r="G83" s="35">
        <v>18000</v>
      </c>
      <c r="H83" s="35">
        <v>50000</v>
      </c>
      <c r="I83" s="35">
        <v>11317.23</v>
      </c>
      <c r="J83" s="90">
        <f t="shared" si="30"/>
        <v>0.22634459999999998</v>
      </c>
      <c r="K83" s="90">
        <f t="shared" si="28"/>
        <v>3.9264273836601515E-5</v>
      </c>
      <c r="L83" s="36">
        <f t="shared" si="29"/>
        <v>-13682.77</v>
      </c>
    </row>
    <row r="84" spans="1:12" ht="15" x14ac:dyDescent="0.25">
      <c r="A84" s="32"/>
      <c r="B84" s="37"/>
      <c r="C84" s="87" t="s">
        <v>331</v>
      </c>
      <c r="D84" s="88" t="s">
        <v>320</v>
      </c>
      <c r="E84" s="34"/>
      <c r="F84" s="89" t="s">
        <v>53</v>
      </c>
      <c r="G84" s="35">
        <v>1500000</v>
      </c>
      <c r="H84" s="35">
        <v>300000</v>
      </c>
      <c r="I84" s="35">
        <v>60000</v>
      </c>
      <c r="J84" s="90">
        <f t="shared" si="30"/>
        <v>0.2</v>
      </c>
      <c r="K84" s="90">
        <f t="shared" si="28"/>
        <v>2.0816546365109583E-4</v>
      </c>
      <c r="L84" s="36">
        <f t="shared" si="29"/>
        <v>-90000</v>
      </c>
    </row>
    <row r="85" spans="1:12" ht="25.5" x14ac:dyDescent="0.25">
      <c r="A85" s="32"/>
      <c r="B85" s="37"/>
      <c r="C85" s="87" t="s">
        <v>331</v>
      </c>
      <c r="D85" s="88" t="s">
        <v>320</v>
      </c>
      <c r="E85" s="34"/>
      <c r="F85" s="89" t="s">
        <v>520</v>
      </c>
      <c r="G85" s="35">
        <v>0</v>
      </c>
      <c r="H85" s="35">
        <v>400000</v>
      </c>
      <c r="I85" s="35">
        <v>0</v>
      </c>
      <c r="J85" s="90">
        <f t="shared" si="30"/>
        <v>0</v>
      </c>
      <c r="K85" s="90">
        <f t="shared" si="28"/>
        <v>0</v>
      </c>
      <c r="L85" s="36">
        <f t="shared" si="29"/>
        <v>-200000</v>
      </c>
    </row>
    <row r="86" spans="1:12" ht="25.5" x14ac:dyDescent="0.25">
      <c r="A86" s="32"/>
      <c r="B86" s="37"/>
      <c r="C86" s="87" t="s">
        <v>331</v>
      </c>
      <c r="D86" s="88" t="s">
        <v>323</v>
      </c>
      <c r="E86" s="34"/>
      <c r="F86" s="89" t="s">
        <v>521</v>
      </c>
      <c r="G86" s="35">
        <v>0</v>
      </c>
      <c r="H86" s="35">
        <v>7500000</v>
      </c>
      <c r="I86" s="35">
        <v>0</v>
      </c>
      <c r="J86" s="90">
        <f t="shared" si="30"/>
        <v>0</v>
      </c>
      <c r="K86" s="90">
        <f t="shared" si="28"/>
        <v>0</v>
      </c>
      <c r="L86" s="36">
        <f t="shared" si="29"/>
        <v>-3750000</v>
      </c>
    </row>
    <row r="87" spans="1:12" ht="15" x14ac:dyDescent="0.25">
      <c r="A87" s="32"/>
      <c r="B87" s="38"/>
      <c r="C87" s="87" t="s">
        <v>331</v>
      </c>
      <c r="D87" s="88" t="s">
        <v>323</v>
      </c>
      <c r="E87" s="34" t="s">
        <v>390</v>
      </c>
      <c r="F87" s="89" t="s">
        <v>508</v>
      </c>
      <c r="G87" s="35">
        <v>19200000</v>
      </c>
      <c r="H87" s="35">
        <v>10000000</v>
      </c>
      <c r="I87" s="35">
        <v>0</v>
      </c>
      <c r="J87" s="90">
        <f t="shared" si="30"/>
        <v>0</v>
      </c>
      <c r="K87" s="90">
        <f t="shared" si="28"/>
        <v>0</v>
      </c>
      <c r="L87" s="36">
        <f t="shared" si="29"/>
        <v>-5000000</v>
      </c>
    </row>
    <row r="88" spans="1:12" s="1" customFormat="1" ht="18.75" customHeight="1" x14ac:dyDescent="0.25">
      <c r="A88" s="31"/>
      <c r="B88" s="123" t="s">
        <v>538</v>
      </c>
      <c r="C88" s="82"/>
      <c r="D88" s="82"/>
      <c r="E88" s="101"/>
      <c r="F88" s="83" t="s">
        <v>54</v>
      </c>
      <c r="G88" s="84">
        <f>+G89</f>
        <v>89434</v>
      </c>
      <c r="H88" s="84">
        <f>+H89</f>
        <v>89434</v>
      </c>
      <c r="I88" s="84">
        <f>+I89</f>
        <v>44718</v>
      </c>
      <c r="J88" s="85">
        <f t="shared" si="30"/>
        <v>0.50001118142988121</v>
      </c>
      <c r="K88" s="85">
        <f t="shared" si="28"/>
        <v>1.5514572005916172E-4</v>
      </c>
      <c r="L88" s="84">
        <f>+L89</f>
        <v>1</v>
      </c>
    </row>
    <row r="89" spans="1:12" ht="22.5" customHeight="1" x14ac:dyDescent="0.25">
      <c r="A89" s="32"/>
      <c r="B89" s="44"/>
      <c r="C89" s="87" t="s">
        <v>331</v>
      </c>
      <c r="D89" s="88" t="s">
        <v>320</v>
      </c>
      <c r="E89" s="34"/>
      <c r="F89" s="89" t="s">
        <v>30</v>
      </c>
      <c r="G89" s="35">
        <v>89434</v>
      </c>
      <c r="H89" s="35">
        <v>89434</v>
      </c>
      <c r="I89" s="35">
        <v>44718</v>
      </c>
      <c r="J89" s="90">
        <f t="shared" si="30"/>
        <v>0.50001118142988121</v>
      </c>
      <c r="K89" s="90">
        <f t="shared" si="28"/>
        <v>1.5514572005916172E-4</v>
      </c>
      <c r="L89" s="36">
        <f t="shared" si="29"/>
        <v>1</v>
      </c>
    </row>
    <row r="90" spans="1:12" s="1" customFormat="1" x14ac:dyDescent="0.25">
      <c r="A90" s="31"/>
      <c r="B90" s="81" t="s">
        <v>410</v>
      </c>
      <c r="C90" s="82"/>
      <c r="D90" s="82"/>
      <c r="E90" s="82"/>
      <c r="F90" s="83" t="s">
        <v>56</v>
      </c>
      <c r="G90" s="84">
        <f>SUM(G91:G135)</f>
        <v>307429763</v>
      </c>
      <c r="H90" s="84">
        <f>SUM(H91:H135)</f>
        <v>296945174</v>
      </c>
      <c r="I90" s="84">
        <f>SUM(I91:I135)</f>
        <v>73272637.999999985</v>
      </c>
      <c r="J90" s="85">
        <f t="shared" si="30"/>
        <v>0.24675476961952575</v>
      </c>
      <c r="K90" s="85">
        <f t="shared" si="28"/>
        <v>0.25421387770348164</v>
      </c>
      <c r="L90" s="86">
        <f>+I90-H90*50%</f>
        <v>-75199949.000000015</v>
      </c>
    </row>
    <row r="91" spans="1:12" ht="25.5" x14ac:dyDescent="0.25">
      <c r="A91" s="32"/>
      <c r="B91" s="44"/>
      <c r="C91" s="39" t="s">
        <v>332</v>
      </c>
      <c r="D91" s="88" t="s">
        <v>320</v>
      </c>
      <c r="E91" s="34"/>
      <c r="F91" s="89" t="s">
        <v>57</v>
      </c>
      <c r="G91" s="35">
        <v>17401178</v>
      </c>
      <c r="H91" s="35">
        <v>17401178</v>
      </c>
      <c r="I91" s="35">
        <v>8308700.1200000001</v>
      </c>
      <c r="J91" s="90">
        <f t="shared" si="30"/>
        <v>0.47747917526043354</v>
      </c>
      <c r="K91" s="90">
        <f t="shared" si="28"/>
        <v>2.8826406880295259E-2</v>
      </c>
      <c r="L91" s="36">
        <f t="shared" si="29"/>
        <v>-391888.87999999989</v>
      </c>
    </row>
    <row r="92" spans="1:12" ht="15" x14ac:dyDescent="0.25">
      <c r="A92" s="32"/>
      <c r="B92" s="37"/>
      <c r="C92" s="39" t="s">
        <v>332</v>
      </c>
      <c r="D92" s="88" t="s">
        <v>320</v>
      </c>
      <c r="E92" s="34"/>
      <c r="F92" s="89" t="s">
        <v>58</v>
      </c>
      <c r="G92" s="35">
        <v>13000000</v>
      </c>
      <c r="H92" s="35">
        <v>11000000</v>
      </c>
      <c r="I92" s="35">
        <v>3420988.97</v>
      </c>
      <c r="J92" s="90">
        <f t="shared" si="30"/>
        <v>0.31099899727272728</v>
      </c>
      <c r="K92" s="90">
        <f t="shared" si="28"/>
        <v>1.186886258475558E-2</v>
      </c>
      <c r="L92" s="36">
        <f t="shared" si="29"/>
        <v>-2079011.0299999998</v>
      </c>
    </row>
    <row r="93" spans="1:12" ht="15" x14ac:dyDescent="0.25">
      <c r="A93" s="32"/>
      <c r="B93" s="37"/>
      <c r="C93" s="39" t="s">
        <v>332</v>
      </c>
      <c r="D93" s="88" t="s">
        <v>320</v>
      </c>
      <c r="E93" s="34"/>
      <c r="F93" s="89" t="s">
        <v>59</v>
      </c>
      <c r="G93" s="35">
        <v>10500000</v>
      </c>
      <c r="H93" s="35">
        <v>8000000</v>
      </c>
      <c r="I93" s="35">
        <v>7050308.0800000001</v>
      </c>
      <c r="J93" s="90">
        <f t="shared" si="30"/>
        <v>0.88128850999999997</v>
      </c>
      <c r="K93" s="90">
        <f t="shared" si="28"/>
        <v>2.4460510839271119E-2</v>
      </c>
      <c r="L93" s="36">
        <f t="shared" si="29"/>
        <v>3050308.08</v>
      </c>
    </row>
    <row r="94" spans="1:12" ht="30" customHeight="1" x14ac:dyDescent="0.25">
      <c r="A94" s="32"/>
      <c r="B94" s="37"/>
      <c r="C94" s="39" t="s">
        <v>332</v>
      </c>
      <c r="D94" s="88" t="s">
        <v>320</v>
      </c>
      <c r="E94" s="34"/>
      <c r="F94" s="89" t="s">
        <v>60</v>
      </c>
      <c r="G94" s="35">
        <v>846730</v>
      </c>
      <c r="H94" s="35">
        <v>846730</v>
      </c>
      <c r="I94" s="35">
        <v>353911.93</v>
      </c>
      <c r="J94" s="90">
        <f t="shared" si="30"/>
        <v>0.41797495069266472</v>
      </c>
      <c r="K94" s="90">
        <f t="shared" si="28"/>
        <v>1.2278706833350693E-3</v>
      </c>
      <c r="L94" s="36">
        <f t="shared" si="29"/>
        <v>-69453.070000000007</v>
      </c>
    </row>
    <row r="95" spans="1:12" ht="15" x14ac:dyDescent="0.25">
      <c r="A95" s="32"/>
      <c r="B95" s="37"/>
      <c r="C95" s="39" t="s">
        <v>332</v>
      </c>
      <c r="D95" s="88" t="s">
        <v>320</v>
      </c>
      <c r="E95" s="34"/>
      <c r="F95" s="89" t="s">
        <v>61</v>
      </c>
      <c r="G95" s="35">
        <v>2000000</v>
      </c>
      <c r="H95" s="35">
        <v>1000000</v>
      </c>
      <c r="I95" s="35">
        <v>82482.91</v>
      </c>
      <c r="J95" s="90">
        <f t="shared" si="30"/>
        <v>8.2482910000000007E-2</v>
      </c>
      <c r="K95" s="90">
        <f t="shared" si="28"/>
        <v>2.8616822005736014E-4</v>
      </c>
      <c r="L95" s="36">
        <f t="shared" si="29"/>
        <v>-417517.08999999997</v>
      </c>
    </row>
    <row r="96" spans="1:12" ht="15" x14ac:dyDescent="0.25">
      <c r="A96" s="32"/>
      <c r="B96" s="37"/>
      <c r="C96" s="39" t="s">
        <v>332</v>
      </c>
      <c r="D96" s="88" t="s">
        <v>323</v>
      </c>
      <c r="E96" s="34"/>
      <c r="F96" s="89" t="s">
        <v>62</v>
      </c>
      <c r="G96" s="35">
        <v>24500000</v>
      </c>
      <c r="H96" s="35">
        <v>23570000</v>
      </c>
      <c r="I96" s="35">
        <v>17061.3</v>
      </c>
      <c r="J96" s="90">
        <f t="shared" si="30"/>
        <v>7.2385659736953756E-4</v>
      </c>
      <c r="K96" s="90">
        <f t="shared" si="28"/>
        <v>5.919289041650735E-5</v>
      </c>
      <c r="L96" s="36">
        <f t="shared" si="29"/>
        <v>-11767938.699999999</v>
      </c>
    </row>
    <row r="97" spans="1:12" ht="15" x14ac:dyDescent="0.25">
      <c r="A97" s="32"/>
      <c r="B97" s="37"/>
      <c r="C97" s="39" t="s">
        <v>332</v>
      </c>
      <c r="D97" s="88" t="s">
        <v>323</v>
      </c>
      <c r="E97" s="34"/>
      <c r="F97" s="89" t="s">
        <v>63</v>
      </c>
      <c r="G97" s="35">
        <v>3000000</v>
      </c>
      <c r="H97" s="35">
        <v>1400000</v>
      </c>
      <c r="I97" s="35">
        <v>1353</v>
      </c>
      <c r="J97" s="90">
        <f t="shared" si="30"/>
        <v>9.6642857142857142E-4</v>
      </c>
      <c r="K97" s="90">
        <f t="shared" si="28"/>
        <v>4.6941312053322107E-6</v>
      </c>
      <c r="L97" s="36">
        <f t="shared" si="29"/>
        <v>-698647</v>
      </c>
    </row>
    <row r="98" spans="1:12" ht="25.5" x14ac:dyDescent="0.25">
      <c r="A98" s="32"/>
      <c r="B98" s="37"/>
      <c r="C98" s="39" t="s">
        <v>332</v>
      </c>
      <c r="D98" s="88" t="s">
        <v>323</v>
      </c>
      <c r="E98" s="34"/>
      <c r="F98" s="89" t="s">
        <v>476</v>
      </c>
      <c r="G98" s="35">
        <v>4000000</v>
      </c>
      <c r="H98" s="35">
        <v>5516500</v>
      </c>
      <c r="I98" s="35">
        <v>85866.77</v>
      </c>
      <c r="J98" s="90">
        <f t="shared" si="30"/>
        <v>1.5565443668993022E-2</v>
      </c>
      <c r="K98" s="90">
        <f t="shared" si="28"/>
        <v>2.9790826648786676E-4</v>
      </c>
      <c r="L98" s="36">
        <f t="shared" si="29"/>
        <v>-2672383.23</v>
      </c>
    </row>
    <row r="99" spans="1:12" ht="15" x14ac:dyDescent="0.25">
      <c r="A99" s="32"/>
      <c r="B99" s="37"/>
      <c r="C99" s="39" t="s">
        <v>332</v>
      </c>
      <c r="D99" s="88" t="s">
        <v>323</v>
      </c>
      <c r="E99" s="34" t="s">
        <v>390</v>
      </c>
      <c r="F99" s="89" t="s">
        <v>423</v>
      </c>
      <c r="G99" s="35">
        <v>1693306</v>
      </c>
      <c r="H99" s="35">
        <v>864997</v>
      </c>
      <c r="I99" s="35">
        <v>74379.710000000006</v>
      </c>
      <c r="J99" s="90">
        <f t="shared" si="30"/>
        <v>8.5988402271915398E-2</v>
      </c>
      <c r="K99" s="90">
        <f t="shared" si="28"/>
        <v>2.5805478030640084E-4</v>
      </c>
      <c r="L99" s="36">
        <f t="shared" si="29"/>
        <v>-358118.79</v>
      </c>
    </row>
    <row r="100" spans="1:12" ht="15" x14ac:dyDescent="0.25">
      <c r="A100" s="32"/>
      <c r="B100" s="37"/>
      <c r="C100" s="39" t="s">
        <v>332</v>
      </c>
      <c r="D100" s="88" t="s">
        <v>323</v>
      </c>
      <c r="E100" s="34"/>
      <c r="F100" s="89" t="s">
        <v>64</v>
      </c>
      <c r="G100" s="35">
        <v>200000</v>
      </c>
      <c r="H100" s="35">
        <v>200000</v>
      </c>
      <c r="I100" s="35">
        <v>37864.879999999997</v>
      </c>
      <c r="J100" s="90">
        <f t="shared" si="30"/>
        <v>0.18932439999999998</v>
      </c>
      <c r="K100" s="90">
        <f t="shared" si="28"/>
        <v>1.3136933835488507E-4</v>
      </c>
      <c r="L100" s="36">
        <f t="shared" si="29"/>
        <v>-62135.12</v>
      </c>
    </row>
    <row r="101" spans="1:12" ht="27.75" customHeight="1" x14ac:dyDescent="0.25">
      <c r="A101" s="32"/>
      <c r="B101" s="37"/>
      <c r="C101" s="39" t="s">
        <v>332</v>
      </c>
      <c r="D101" s="88" t="s">
        <v>323</v>
      </c>
      <c r="E101" s="34" t="s">
        <v>390</v>
      </c>
      <c r="F101" s="89" t="s">
        <v>477</v>
      </c>
      <c r="G101" s="35">
        <v>7677270</v>
      </c>
      <c r="H101" s="35">
        <v>10777270</v>
      </c>
      <c r="I101" s="35">
        <v>459304.63</v>
      </c>
      <c r="J101" s="90">
        <f t="shared" si="30"/>
        <v>4.2617901379477366E-2</v>
      </c>
      <c r="K101" s="90">
        <f t="shared" si="28"/>
        <v>1.5935226876840835E-3</v>
      </c>
      <c r="L101" s="36">
        <f t="shared" si="29"/>
        <v>-4929330.37</v>
      </c>
    </row>
    <row r="102" spans="1:12" ht="25.5" x14ac:dyDescent="0.25">
      <c r="A102" s="32"/>
      <c r="B102" s="37"/>
      <c r="C102" s="39" t="s">
        <v>332</v>
      </c>
      <c r="D102" s="88" t="s">
        <v>323</v>
      </c>
      <c r="E102" s="34" t="s">
        <v>390</v>
      </c>
      <c r="F102" s="89" t="s">
        <v>424</v>
      </c>
      <c r="G102" s="35">
        <v>168361</v>
      </c>
      <c r="H102" s="35">
        <v>306670</v>
      </c>
      <c r="I102" s="35">
        <v>165362.5</v>
      </c>
      <c r="J102" s="90">
        <f t="shared" si="30"/>
        <v>0.53921968239475659</v>
      </c>
      <c r="K102" s="90">
        <f t="shared" si="28"/>
        <v>5.7371269138340548E-4</v>
      </c>
      <c r="L102" s="36">
        <f t="shared" si="29"/>
        <v>12027.5</v>
      </c>
    </row>
    <row r="103" spans="1:12" ht="15" x14ac:dyDescent="0.25">
      <c r="A103" s="40"/>
      <c r="B103" s="134"/>
      <c r="C103" s="39" t="s">
        <v>332</v>
      </c>
      <c r="D103" s="88" t="s">
        <v>323</v>
      </c>
      <c r="E103" s="34"/>
      <c r="F103" s="89" t="s">
        <v>65</v>
      </c>
      <c r="G103" s="35">
        <v>1200000</v>
      </c>
      <c r="H103" s="35">
        <v>840000</v>
      </c>
      <c r="I103" s="35">
        <v>199231.16</v>
      </c>
      <c r="J103" s="90">
        <f t="shared" si="30"/>
        <v>0.23717995238095238</v>
      </c>
      <c r="K103" s="90">
        <f t="shared" si="28"/>
        <v>6.9121744658576093E-4</v>
      </c>
      <c r="L103" s="36">
        <f t="shared" si="29"/>
        <v>-220768.84</v>
      </c>
    </row>
    <row r="104" spans="1:12" ht="25.5" x14ac:dyDescent="0.25">
      <c r="A104" s="32"/>
      <c r="B104" s="37"/>
      <c r="C104" s="39" t="s">
        <v>332</v>
      </c>
      <c r="D104" s="88" t="s">
        <v>323</v>
      </c>
      <c r="E104" s="34"/>
      <c r="F104" s="89" t="s">
        <v>66</v>
      </c>
      <c r="G104" s="35">
        <v>1000000</v>
      </c>
      <c r="H104" s="35">
        <v>400000</v>
      </c>
      <c r="I104" s="35">
        <v>0</v>
      </c>
      <c r="J104" s="90">
        <f t="shared" si="30"/>
        <v>0</v>
      </c>
      <c r="K104" s="90">
        <f t="shared" si="28"/>
        <v>0</v>
      </c>
      <c r="L104" s="36">
        <f t="shared" si="29"/>
        <v>-200000</v>
      </c>
    </row>
    <row r="105" spans="1:12" ht="15" x14ac:dyDescent="0.25">
      <c r="A105" s="32"/>
      <c r="B105" s="37"/>
      <c r="C105" s="94" t="s">
        <v>332</v>
      </c>
      <c r="D105" s="95" t="s">
        <v>323</v>
      </c>
      <c r="E105" s="96"/>
      <c r="F105" s="97" t="s">
        <v>67</v>
      </c>
      <c r="G105" s="98">
        <v>0</v>
      </c>
      <c r="H105" s="98">
        <v>360000</v>
      </c>
      <c r="I105" s="98">
        <v>12.56</v>
      </c>
      <c r="J105" s="99">
        <f t="shared" si="30"/>
        <v>3.4888888888888888E-5</v>
      </c>
      <c r="K105" s="99">
        <f t="shared" si="28"/>
        <v>4.3575970390962724E-8</v>
      </c>
      <c r="L105" s="155">
        <f t="shared" si="29"/>
        <v>-179987.44</v>
      </c>
    </row>
    <row r="106" spans="1:12" ht="25.5" x14ac:dyDescent="0.25">
      <c r="A106" s="32"/>
      <c r="B106" s="37"/>
      <c r="C106" s="39" t="s">
        <v>332</v>
      </c>
      <c r="D106" s="88" t="s">
        <v>323</v>
      </c>
      <c r="E106" s="34" t="s">
        <v>390</v>
      </c>
      <c r="F106" s="89" t="s">
        <v>478</v>
      </c>
      <c r="G106" s="35">
        <v>380000</v>
      </c>
      <c r="H106" s="35">
        <v>453625</v>
      </c>
      <c r="I106" s="35">
        <v>33645.4</v>
      </c>
      <c r="J106" s="90">
        <f t="shared" si="30"/>
        <v>7.417007440066134E-2</v>
      </c>
      <c r="K106" s="90">
        <f t="shared" si="28"/>
        <v>1.1673017151210965E-4</v>
      </c>
      <c r="L106" s="36">
        <f t="shared" si="29"/>
        <v>-193167.1</v>
      </c>
    </row>
    <row r="107" spans="1:12" ht="25.5" x14ac:dyDescent="0.25">
      <c r="A107" s="32"/>
      <c r="B107" s="37"/>
      <c r="C107" s="39" t="s">
        <v>332</v>
      </c>
      <c r="D107" s="88" t="s">
        <v>323</v>
      </c>
      <c r="E107" s="34" t="s">
        <v>390</v>
      </c>
      <c r="F107" s="89" t="s">
        <v>479</v>
      </c>
      <c r="G107" s="35">
        <v>40000</v>
      </c>
      <c r="H107" s="35">
        <v>40000</v>
      </c>
      <c r="I107" s="35">
        <v>0</v>
      </c>
      <c r="J107" s="90">
        <f t="shared" si="30"/>
        <v>0</v>
      </c>
      <c r="K107" s="90">
        <f t="shared" si="28"/>
        <v>0</v>
      </c>
      <c r="L107" s="36">
        <f t="shared" si="29"/>
        <v>-20000</v>
      </c>
    </row>
    <row r="108" spans="1:12" ht="25.5" x14ac:dyDescent="0.25">
      <c r="A108" s="32"/>
      <c r="B108" s="37"/>
      <c r="C108" s="39" t="s">
        <v>332</v>
      </c>
      <c r="D108" s="88" t="s">
        <v>323</v>
      </c>
      <c r="E108" s="34" t="s">
        <v>390</v>
      </c>
      <c r="F108" s="89" t="s">
        <v>483</v>
      </c>
      <c r="G108" s="35">
        <v>15940576</v>
      </c>
      <c r="H108" s="35">
        <v>17541829</v>
      </c>
      <c r="I108" s="35">
        <v>4622987.28</v>
      </c>
      <c r="J108" s="90">
        <f t="shared" si="30"/>
        <v>0.26354077901454859</v>
      </c>
      <c r="K108" s="90">
        <f t="shared" si="28"/>
        <v>1.6039104843238641E-2</v>
      </c>
      <c r="L108" s="36">
        <f t="shared" si="29"/>
        <v>-4147927.2199999997</v>
      </c>
    </row>
    <row r="109" spans="1:12" ht="25.5" x14ac:dyDescent="0.25">
      <c r="A109" s="32"/>
      <c r="B109" s="37"/>
      <c r="C109" s="39" t="s">
        <v>332</v>
      </c>
      <c r="D109" s="88" t="s">
        <v>323</v>
      </c>
      <c r="E109" s="34" t="s">
        <v>390</v>
      </c>
      <c r="F109" s="89" t="s">
        <v>425</v>
      </c>
      <c r="G109" s="35">
        <v>100000</v>
      </c>
      <c r="H109" s="35">
        <v>50000</v>
      </c>
      <c r="I109" s="35">
        <v>48290</v>
      </c>
      <c r="J109" s="90">
        <f t="shared" si="30"/>
        <v>0.96579999999999999</v>
      </c>
      <c r="K109" s="90">
        <f t="shared" si="28"/>
        <v>1.6753850399519029E-4</v>
      </c>
      <c r="L109" s="36">
        <f t="shared" si="29"/>
        <v>23290</v>
      </c>
    </row>
    <row r="110" spans="1:12" ht="30" customHeight="1" x14ac:dyDescent="0.25">
      <c r="A110" s="32"/>
      <c r="B110" s="37"/>
      <c r="C110" s="39" t="s">
        <v>332</v>
      </c>
      <c r="D110" s="88" t="s">
        <v>323</v>
      </c>
      <c r="E110" s="34" t="s">
        <v>390</v>
      </c>
      <c r="F110" s="89" t="s">
        <v>480</v>
      </c>
      <c r="G110" s="35">
        <v>67075</v>
      </c>
      <c r="H110" s="35">
        <v>67076</v>
      </c>
      <c r="I110" s="35">
        <v>0</v>
      </c>
      <c r="J110" s="90">
        <f t="shared" si="30"/>
        <v>0</v>
      </c>
      <c r="K110" s="90">
        <f t="shared" si="28"/>
        <v>0</v>
      </c>
      <c r="L110" s="36">
        <f t="shared" si="29"/>
        <v>-33538</v>
      </c>
    </row>
    <row r="111" spans="1:12" ht="25.5" x14ac:dyDescent="0.25">
      <c r="A111" s="32"/>
      <c r="B111" s="37"/>
      <c r="C111" s="39" t="s">
        <v>332</v>
      </c>
      <c r="D111" s="88" t="s">
        <v>323</v>
      </c>
      <c r="E111" s="34" t="s">
        <v>390</v>
      </c>
      <c r="F111" s="89" t="s">
        <v>481</v>
      </c>
      <c r="G111" s="35">
        <v>20000</v>
      </c>
      <c r="H111" s="35">
        <v>35210</v>
      </c>
      <c r="I111" s="35">
        <v>19116</v>
      </c>
      <c r="J111" s="90">
        <f t="shared" si="30"/>
        <v>0.5429139449020165</v>
      </c>
      <c r="K111" s="90">
        <f t="shared" si="28"/>
        <v>6.6321516719239124E-5</v>
      </c>
      <c r="L111" s="36">
        <f t="shared" si="29"/>
        <v>1511</v>
      </c>
    </row>
    <row r="112" spans="1:12" ht="25.5" x14ac:dyDescent="0.25">
      <c r="A112" s="32"/>
      <c r="B112" s="37"/>
      <c r="C112" s="39" t="s">
        <v>332</v>
      </c>
      <c r="D112" s="88" t="s">
        <v>323</v>
      </c>
      <c r="E112" s="34" t="s">
        <v>390</v>
      </c>
      <c r="F112" s="89" t="s">
        <v>482</v>
      </c>
      <c r="G112" s="35">
        <v>27329507</v>
      </c>
      <c r="H112" s="35">
        <v>27696920</v>
      </c>
      <c r="I112" s="35">
        <v>8921262.2699999996</v>
      </c>
      <c r="J112" s="90">
        <f t="shared" si="30"/>
        <v>0.32210304503172194</v>
      </c>
      <c r="K112" s="90">
        <f t="shared" si="28"/>
        <v>3.0951644946459623E-2</v>
      </c>
      <c r="L112" s="36">
        <f t="shared" si="29"/>
        <v>-4927197.7300000004</v>
      </c>
    </row>
    <row r="113" spans="1:12" ht="25.5" x14ac:dyDescent="0.25">
      <c r="A113" s="32"/>
      <c r="B113" s="37"/>
      <c r="C113" s="39" t="s">
        <v>332</v>
      </c>
      <c r="D113" s="88" t="s">
        <v>323</v>
      </c>
      <c r="E113" s="34" t="s">
        <v>390</v>
      </c>
      <c r="F113" s="89" t="s">
        <v>484</v>
      </c>
      <c r="G113" s="35">
        <v>8894094</v>
      </c>
      <c r="H113" s="35">
        <v>4000000</v>
      </c>
      <c r="I113" s="35">
        <v>0</v>
      </c>
      <c r="J113" s="90">
        <f t="shared" si="30"/>
        <v>0</v>
      </c>
      <c r="K113" s="90">
        <f t="shared" si="28"/>
        <v>0</v>
      </c>
      <c r="L113" s="36">
        <f t="shared" si="29"/>
        <v>-2000000</v>
      </c>
    </row>
    <row r="114" spans="1:12" ht="25.5" x14ac:dyDescent="0.25">
      <c r="A114" s="32"/>
      <c r="B114" s="37"/>
      <c r="C114" s="39" t="s">
        <v>332</v>
      </c>
      <c r="D114" s="88" t="s">
        <v>323</v>
      </c>
      <c r="E114" s="34" t="s">
        <v>390</v>
      </c>
      <c r="F114" s="89" t="s">
        <v>485</v>
      </c>
      <c r="G114" s="35">
        <v>14811378</v>
      </c>
      <c r="H114" s="35">
        <v>15962018</v>
      </c>
      <c r="I114" s="35">
        <v>5074793.16</v>
      </c>
      <c r="J114" s="90">
        <f t="shared" si="30"/>
        <v>0.31792929690970151</v>
      </c>
      <c r="K114" s="90">
        <f t="shared" si="28"/>
        <v>1.760661118474683E-2</v>
      </c>
      <c r="L114" s="36">
        <f t="shared" si="29"/>
        <v>-2906215.84</v>
      </c>
    </row>
    <row r="115" spans="1:12" ht="25.5" x14ac:dyDescent="0.25">
      <c r="A115" s="32"/>
      <c r="B115" s="37"/>
      <c r="C115" s="39" t="s">
        <v>332</v>
      </c>
      <c r="D115" s="88" t="s">
        <v>323</v>
      </c>
      <c r="E115" s="34" t="s">
        <v>390</v>
      </c>
      <c r="F115" s="89" t="s">
        <v>486</v>
      </c>
      <c r="G115" s="35">
        <v>11100939</v>
      </c>
      <c r="H115" s="35">
        <v>4800000</v>
      </c>
      <c r="I115" s="35">
        <v>0</v>
      </c>
      <c r="J115" s="90">
        <f t="shared" si="30"/>
        <v>0</v>
      </c>
      <c r="K115" s="90">
        <f t="shared" si="28"/>
        <v>0</v>
      </c>
      <c r="L115" s="36">
        <f t="shared" si="29"/>
        <v>-2400000</v>
      </c>
    </row>
    <row r="116" spans="1:12" ht="25.5" x14ac:dyDescent="0.25">
      <c r="A116" s="32"/>
      <c r="B116" s="37"/>
      <c r="C116" s="39" t="s">
        <v>332</v>
      </c>
      <c r="D116" s="88" t="s">
        <v>323</v>
      </c>
      <c r="E116" s="34" t="s">
        <v>390</v>
      </c>
      <c r="F116" s="89" t="s">
        <v>426</v>
      </c>
      <c r="G116" s="35">
        <v>14755591</v>
      </c>
      <c r="H116" s="35">
        <v>14909093</v>
      </c>
      <c r="I116" s="35">
        <v>3963677.69</v>
      </c>
      <c r="J116" s="90">
        <f t="shared" si="30"/>
        <v>0.2658563931420912</v>
      </c>
      <c r="K116" s="90">
        <f t="shared" si="28"/>
        <v>1.3751680068372574E-2</v>
      </c>
      <c r="L116" s="36">
        <f t="shared" si="29"/>
        <v>-3490868.81</v>
      </c>
    </row>
    <row r="117" spans="1:12" ht="25.5" x14ac:dyDescent="0.25">
      <c r="A117" s="32"/>
      <c r="B117" s="37"/>
      <c r="C117" s="39" t="s">
        <v>332</v>
      </c>
      <c r="D117" s="88" t="s">
        <v>323</v>
      </c>
      <c r="E117" s="34" t="s">
        <v>390</v>
      </c>
      <c r="F117" s="89" t="s">
        <v>427</v>
      </c>
      <c r="G117" s="35">
        <v>11021246</v>
      </c>
      <c r="H117" s="35">
        <v>11033246</v>
      </c>
      <c r="I117" s="35">
        <v>2799744.64</v>
      </c>
      <c r="J117" s="90">
        <f t="shared" si="30"/>
        <v>0.25375529921112971</v>
      </c>
      <c r="K117" s="90">
        <f t="shared" si="28"/>
        <v>9.7135023515045067E-3</v>
      </c>
      <c r="L117" s="36">
        <f t="shared" si="29"/>
        <v>-2716878.36</v>
      </c>
    </row>
    <row r="118" spans="1:12" ht="25.5" x14ac:dyDescent="0.25">
      <c r="A118" s="32"/>
      <c r="B118" s="37"/>
      <c r="C118" s="39" t="s">
        <v>332</v>
      </c>
      <c r="D118" s="88" t="s">
        <v>323</v>
      </c>
      <c r="E118" s="34" t="s">
        <v>390</v>
      </c>
      <c r="F118" s="89" t="s">
        <v>428</v>
      </c>
      <c r="G118" s="35">
        <v>11160780</v>
      </c>
      <c r="H118" s="35">
        <v>8572326</v>
      </c>
      <c r="I118" s="35">
        <v>2172832</v>
      </c>
      <c r="J118" s="90">
        <f t="shared" si="30"/>
        <v>0.25347052830235339</v>
      </c>
      <c r="K118" s="90">
        <f t="shared" si="28"/>
        <v>7.5384763452656309E-3</v>
      </c>
      <c r="L118" s="36">
        <f t="shared" si="29"/>
        <v>-2113331</v>
      </c>
    </row>
    <row r="119" spans="1:12" ht="25.5" x14ac:dyDescent="0.25">
      <c r="A119" s="32"/>
      <c r="B119" s="37"/>
      <c r="C119" s="39" t="s">
        <v>332</v>
      </c>
      <c r="D119" s="88" t="s">
        <v>323</v>
      </c>
      <c r="E119" s="34" t="s">
        <v>390</v>
      </c>
      <c r="F119" s="89" t="s">
        <v>429</v>
      </c>
      <c r="G119" s="35">
        <v>19079645</v>
      </c>
      <c r="H119" s="35">
        <v>16203306</v>
      </c>
      <c r="I119" s="35">
        <v>6072862.5300000003</v>
      </c>
      <c r="J119" s="90">
        <f t="shared" si="30"/>
        <v>0.37479157216434722</v>
      </c>
      <c r="K119" s="90">
        <f t="shared" si="28"/>
        <v>2.1069337404113615E-2</v>
      </c>
      <c r="L119" s="36">
        <f t="shared" si="29"/>
        <v>-2028790.4699999997</v>
      </c>
    </row>
    <row r="120" spans="1:12" ht="25.5" x14ac:dyDescent="0.25">
      <c r="A120" s="32"/>
      <c r="B120" s="37"/>
      <c r="C120" s="39" t="s">
        <v>332</v>
      </c>
      <c r="D120" s="88" t="s">
        <v>323</v>
      </c>
      <c r="E120" s="34" t="s">
        <v>390</v>
      </c>
      <c r="F120" s="89" t="s">
        <v>430</v>
      </c>
      <c r="G120" s="35">
        <v>12081535</v>
      </c>
      <c r="H120" s="35">
        <v>12081535</v>
      </c>
      <c r="I120" s="35">
        <v>5846.48</v>
      </c>
      <c r="J120" s="90">
        <f t="shared" si="30"/>
        <v>4.8391864113293549E-4</v>
      </c>
      <c r="K120" s="90">
        <f t="shared" si="28"/>
        <v>2.0283920332114309E-5</v>
      </c>
      <c r="L120" s="36">
        <f t="shared" si="29"/>
        <v>-6034921.0199999996</v>
      </c>
    </row>
    <row r="121" spans="1:12" ht="25.5" x14ac:dyDescent="0.25">
      <c r="A121" s="32"/>
      <c r="B121" s="37"/>
      <c r="C121" s="39" t="s">
        <v>332</v>
      </c>
      <c r="D121" s="88" t="s">
        <v>323</v>
      </c>
      <c r="E121" s="34" t="s">
        <v>390</v>
      </c>
      <c r="F121" s="89" t="s">
        <v>431</v>
      </c>
      <c r="G121" s="35">
        <v>10275246</v>
      </c>
      <c r="H121" s="35">
        <v>11175579</v>
      </c>
      <c r="I121" s="35">
        <v>5918267.4800000004</v>
      </c>
      <c r="J121" s="90">
        <f t="shared" si="30"/>
        <v>0.52957144144388402</v>
      </c>
      <c r="K121" s="90">
        <f t="shared" si="28"/>
        <v>2.0532981566423376E-2</v>
      </c>
      <c r="L121" s="36">
        <f t="shared" si="29"/>
        <v>330477.98000000045</v>
      </c>
    </row>
    <row r="122" spans="1:12" ht="25.5" x14ac:dyDescent="0.25">
      <c r="A122" s="32"/>
      <c r="B122" s="37"/>
      <c r="C122" s="39" t="s">
        <v>332</v>
      </c>
      <c r="D122" s="88" t="s">
        <v>323</v>
      </c>
      <c r="E122" s="34" t="s">
        <v>390</v>
      </c>
      <c r="F122" s="89" t="s">
        <v>432</v>
      </c>
      <c r="G122" s="35">
        <v>13728130</v>
      </c>
      <c r="H122" s="35">
        <v>14744574</v>
      </c>
      <c r="I122" s="35">
        <v>1770300.64</v>
      </c>
      <c r="J122" s="90">
        <f t="shared" si="30"/>
        <v>0.12006454984728619</v>
      </c>
      <c r="K122" s="90">
        <f t="shared" si="28"/>
        <v>6.1419242254571937E-3</v>
      </c>
      <c r="L122" s="36">
        <f t="shared" si="29"/>
        <v>-5601986.3600000003</v>
      </c>
    </row>
    <row r="123" spans="1:12" ht="25.5" x14ac:dyDescent="0.25">
      <c r="A123" s="32"/>
      <c r="B123" s="37"/>
      <c r="C123" s="39" t="s">
        <v>332</v>
      </c>
      <c r="D123" s="88" t="s">
        <v>323</v>
      </c>
      <c r="E123" s="34" t="s">
        <v>390</v>
      </c>
      <c r="F123" s="89" t="s">
        <v>433</v>
      </c>
      <c r="G123" s="35">
        <v>280000</v>
      </c>
      <c r="H123" s="35">
        <v>190000</v>
      </c>
      <c r="I123" s="35">
        <v>188320</v>
      </c>
      <c r="J123" s="90">
        <f t="shared" si="30"/>
        <v>0.99115789473684213</v>
      </c>
      <c r="K123" s="90">
        <f t="shared" si="28"/>
        <v>6.5336200191290603E-4</v>
      </c>
      <c r="L123" s="36">
        <f t="shared" si="29"/>
        <v>93320</v>
      </c>
    </row>
    <row r="124" spans="1:12" ht="25.5" x14ac:dyDescent="0.25">
      <c r="A124" s="32"/>
      <c r="B124" s="37"/>
      <c r="C124" s="39" t="s">
        <v>332</v>
      </c>
      <c r="D124" s="88" t="s">
        <v>323</v>
      </c>
      <c r="E124" s="34" t="s">
        <v>390</v>
      </c>
      <c r="F124" s="89" t="s">
        <v>434</v>
      </c>
      <c r="G124" s="35">
        <v>8324934</v>
      </c>
      <c r="H124" s="35">
        <v>8624990</v>
      </c>
      <c r="I124" s="35">
        <v>3208314.7</v>
      </c>
      <c r="J124" s="90">
        <f t="shared" si="30"/>
        <v>0.37197894722196784</v>
      </c>
      <c r="K124" s="90">
        <f t="shared" si="28"/>
        <v>1.1131005284402107E-2</v>
      </c>
      <c r="L124" s="36">
        <f t="shared" si="29"/>
        <v>-1104180.2999999998</v>
      </c>
    </row>
    <row r="125" spans="1:12" ht="25.5" x14ac:dyDescent="0.25">
      <c r="A125" s="32"/>
      <c r="B125" s="37"/>
      <c r="C125" s="39" t="s">
        <v>332</v>
      </c>
      <c r="D125" s="88" t="s">
        <v>323</v>
      </c>
      <c r="E125" s="34" t="s">
        <v>390</v>
      </c>
      <c r="F125" s="89" t="s">
        <v>435</v>
      </c>
      <c r="G125" s="35">
        <v>1003440</v>
      </c>
      <c r="H125" s="35">
        <v>3003440</v>
      </c>
      <c r="I125" s="35">
        <v>600</v>
      </c>
      <c r="J125" s="90">
        <f t="shared" si="30"/>
        <v>1.9977092933436326E-4</v>
      </c>
      <c r="K125" s="90">
        <f t="shared" si="28"/>
        <v>2.0816546365109583E-6</v>
      </c>
      <c r="L125" s="36">
        <f t="shared" si="29"/>
        <v>-1501120</v>
      </c>
    </row>
    <row r="126" spans="1:12" ht="25.5" x14ac:dyDescent="0.25">
      <c r="A126" s="32"/>
      <c r="B126" s="37"/>
      <c r="C126" s="39" t="s">
        <v>332</v>
      </c>
      <c r="D126" s="88" t="s">
        <v>323</v>
      </c>
      <c r="E126" s="34" t="s">
        <v>390</v>
      </c>
      <c r="F126" s="89" t="s">
        <v>439</v>
      </c>
      <c r="G126" s="35">
        <v>12097781</v>
      </c>
      <c r="H126" s="35">
        <v>11152306</v>
      </c>
      <c r="I126" s="35">
        <v>2049554.13</v>
      </c>
      <c r="J126" s="90">
        <f t="shared" si="30"/>
        <v>0.18377850553957181</v>
      </c>
      <c r="K126" s="90">
        <f t="shared" si="28"/>
        <v>7.1107730958244715E-3</v>
      </c>
      <c r="L126" s="36">
        <f t="shared" si="29"/>
        <v>-3526598.87</v>
      </c>
    </row>
    <row r="127" spans="1:12" ht="25.5" x14ac:dyDescent="0.25">
      <c r="A127" s="32"/>
      <c r="B127" s="37"/>
      <c r="C127" s="39" t="s">
        <v>332</v>
      </c>
      <c r="D127" s="88" t="s">
        <v>323</v>
      </c>
      <c r="E127" s="34" t="s">
        <v>390</v>
      </c>
      <c r="F127" s="89" t="s">
        <v>436</v>
      </c>
      <c r="G127" s="35">
        <v>2937110</v>
      </c>
      <c r="H127" s="35">
        <v>3758500</v>
      </c>
      <c r="I127" s="35">
        <v>1910316.42</v>
      </c>
      <c r="J127" s="90">
        <f t="shared" si="30"/>
        <v>0.50826564320872691</v>
      </c>
      <c r="K127" s="90">
        <f t="shared" si="28"/>
        <v>6.6276983881600245E-3</v>
      </c>
      <c r="L127" s="36">
        <f t="shared" si="29"/>
        <v>31066.419999999925</v>
      </c>
    </row>
    <row r="128" spans="1:12" ht="25.5" x14ac:dyDescent="0.25">
      <c r="A128" s="32"/>
      <c r="B128" s="37"/>
      <c r="C128" s="39" t="s">
        <v>332</v>
      </c>
      <c r="D128" s="88" t="s">
        <v>323</v>
      </c>
      <c r="E128" s="34" t="s">
        <v>390</v>
      </c>
      <c r="F128" s="89" t="s">
        <v>437</v>
      </c>
      <c r="G128" s="35">
        <v>5684013</v>
      </c>
      <c r="H128" s="35">
        <v>5277483</v>
      </c>
      <c r="I128" s="35">
        <v>1081928.77</v>
      </c>
      <c r="J128" s="90">
        <f t="shared" si="30"/>
        <v>0.20500848036838773</v>
      </c>
      <c r="K128" s="90">
        <f t="shared" si="28"/>
        <v>3.7536700674084969E-3</v>
      </c>
      <c r="L128" s="36">
        <f t="shared" si="29"/>
        <v>-1556812.73</v>
      </c>
    </row>
    <row r="129" spans="1:12" ht="25.5" x14ac:dyDescent="0.25">
      <c r="A129" s="32"/>
      <c r="B129" s="37"/>
      <c r="C129" s="39" t="s">
        <v>332</v>
      </c>
      <c r="D129" s="88" t="s">
        <v>323</v>
      </c>
      <c r="E129" s="34" t="s">
        <v>390</v>
      </c>
      <c r="F129" s="89" t="s">
        <v>438</v>
      </c>
      <c r="G129" s="35">
        <v>50906</v>
      </c>
      <c r="H129" s="35">
        <v>50906</v>
      </c>
      <c r="I129" s="35">
        <v>3360.53</v>
      </c>
      <c r="J129" s="90">
        <f t="shared" si="30"/>
        <v>6.6014418732565916E-2</v>
      </c>
      <c r="K129" s="90">
        <f t="shared" si="28"/>
        <v>1.1659104759390285E-5</v>
      </c>
      <c r="L129" s="36">
        <f t="shared" si="29"/>
        <v>-22092.47</v>
      </c>
    </row>
    <row r="130" spans="1:12" ht="25.5" x14ac:dyDescent="0.25">
      <c r="A130" s="32"/>
      <c r="B130" s="37"/>
      <c r="C130" s="39" t="s">
        <v>332</v>
      </c>
      <c r="D130" s="88" t="s">
        <v>323</v>
      </c>
      <c r="E130" s="34" t="s">
        <v>390</v>
      </c>
      <c r="F130" s="89" t="s">
        <v>440</v>
      </c>
      <c r="G130" s="35">
        <v>5972460</v>
      </c>
      <c r="H130" s="35">
        <v>6375736</v>
      </c>
      <c r="I130" s="35">
        <v>238063.89</v>
      </c>
      <c r="J130" s="90">
        <f t="shared" si="30"/>
        <v>3.7339044464827276E-2</v>
      </c>
      <c r="K130" s="90">
        <f t="shared" si="28"/>
        <v>8.2594466734055793E-4</v>
      </c>
      <c r="L130" s="36">
        <f t="shared" si="29"/>
        <v>-2949804.11</v>
      </c>
    </row>
    <row r="131" spans="1:12" ht="15" x14ac:dyDescent="0.25">
      <c r="A131" s="32"/>
      <c r="B131" s="37"/>
      <c r="C131" s="94" t="s">
        <v>332</v>
      </c>
      <c r="D131" s="95" t="s">
        <v>323</v>
      </c>
      <c r="E131" s="96" t="s">
        <v>390</v>
      </c>
      <c r="F131" s="97" t="s">
        <v>441</v>
      </c>
      <c r="G131" s="98">
        <v>3106100</v>
      </c>
      <c r="H131" s="98">
        <v>5506100</v>
      </c>
      <c r="I131" s="98">
        <v>2433616.5</v>
      </c>
      <c r="J131" s="99">
        <f t="shared" si="30"/>
        <v>0.44198552514483935</v>
      </c>
      <c r="K131" s="99">
        <f t="shared" si="28"/>
        <v>8.4432484511909496E-3</v>
      </c>
      <c r="L131" s="36">
        <f t="shared" si="29"/>
        <v>-319433.5</v>
      </c>
    </row>
    <row r="132" spans="1:12" ht="24.75" customHeight="1" x14ac:dyDescent="0.25">
      <c r="A132" s="32"/>
      <c r="B132" s="37"/>
      <c r="C132" s="39" t="s">
        <v>332</v>
      </c>
      <c r="D132" s="88" t="s">
        <v>323</v>
      </c>
      <c r="E132" s="34" t="s">
        <v>390</v>
      </c>
      <c r="F132" s="89" t="s">
        <v>487</v>
      </c>
      <c r="G132" s="35">
        <v>4059950</v>
      </c>
      <c r="H132" s="35">
        <v>4500000</v>
      </c>
      <c r="I132" s="35">
        <v>3897.34</v>
      </c>
      <c r="J132" s="90">
        <f t="shared" si="30"/>
        <v>8.6607555555555556E-4</v>
      </c>
      <c r="K132" s="90">
        <f t="shared" si="28"/>
        <v>1.3521526468432697E-5</v>
      </c>
      <c r="L132" s="36">
        <f t="shared" si="29"/>
        <v>-2246102.66</v>
      </c>
    </row>
    <row r="133" spans="1:12" ht="28.5" customHeight="1" x14ac:dyDescent="0.25">
      <c r="A133" s="32"/>
      <c r="B133" s="37"/>
      <c r="C133" s="39" t="s">
        <v>332</v>
      </c>
      <c r="D133" s="88" t="s">
        <v>323</v>
      </c>
      <c r="E133" s="34" t="s">
        <v>390</v>
      </c>
      <c r="F133" s="89" t="s">
        <v>488</v>
      </c>
      <c r="G133" s="35">
        <v>2346427</v>
      </c>
      <c r="H133" s="35">
        <v>2346427</v>
      </c>
      <c r="I133" s="35">
        <v>0</v>
      </c>
      <c r="J133" s="90">
        <f t="shared" si="30"/>
        <v>0</v>
      </c>
      <c r="K133" s="90">
        <f t="shared" si="28"/>
        <v>0</v>
      </c>
      <c r="L133" s="36">
        <f t="shared" si="29"/>
        <v>-1173213.5</v>
      </c>
    </row>
    <row r="134" spans="1:12" ht="15" x14ac:dyDescent="0.25">
      <c r="A134" s="32"/>
      <c r="B134" s="37"/>
      <c r="C134" s="39" t="s">
        <v>332</v>
      </c>
      <c r="D134" s="88" t="s">
        <v>323</v>
      </c>
      <c r="E134" s="34" t="s">
        <v>390</v>
      </c>
      <c r="F134" s="89" t="s">
        <v>442</v>
      </c>
      <c r="G134" s="35">
        <v>2356791</v>
      </c>
      <c r="H134" s="35">
        <v>2356791</v>
      </c>
      <c r="I134" s="35">
        <v>57340</v>
      </c>
      <c r="J134" s="90">
        <f t="shared" si="30"/>
        <v>2.4329692365593725E-2</v>
      </c>
      <c r="K134" s="90">
        <f t="shared" si="28"/>
        <v>1.989367947625639E-4</v>
      </c>
      <c r="L134" s="36">
        <f t="shared" si="29"/>
        <v>-1121055.5</v>
      </c>
    </row>
    <row r="135" spans="1:12" ht="25.5" x14ac:dyDescent="0.25">
      <c r="A135" s="32"/>
      <c r="B135" s="38"/>
      <c r="C135" s="39" t="s">
        <v>332</v>
      </c>
      <c r="D135" s="88" t="s">
        <v>323</v>
      </c>
      <c r="E135" s="34" t="s">
        <v>390</v>
      </c>
      <c r="F135" s="89" t="s">
        <v>443</v>
      </c>
      <c r="G135" s="35">
        <v>1237264</v>
      </c>
      <c r="H135" s="35">
        <v>1952813</v>
      </c>
      <c r="I135" s="35">
        <v>416871.63</v>
      </c>
      <c r="J135" s="90">
        <f t="shared" si="30"/>
        <v>0.21347237549115047</v>
      </c>
      <c r="K135" s="90">
        <f t="shared" si="28"/>
        <v>1.4463046023656344E-3</v>
      </c>
      <c r="L135" s="36">
        <f t="shared" si="29"/>
        <v>-559534.87</v>
      </c>
    </row>
    <row r="136" spans="1:12" s="1" customFormat="1" ht="19.5" customHeight="1" x14ac:dyDescent="0.25">
      <c r="A136" s="31"/>
      <c r="B136" s="81">
        <v>60041</v>
      </c>
      <c r="C136" s="82"/>
      <c r="D136" s="82"/>
      <c r="E136" s="82"/>
      <c r="F136" s="83" t="s">
        <v>68</v>
      </c>
      <c r="G136" s="84">
        <f>+G137</f>
        <v>79000</v>
      </c>
      <c r="H136" s="84">
        <f t="shared" ref="H136:I136" si="31">+H137</f>
        <v>60000</v>
      </c>
      <c r="I136" s="84">
        <f t="shared" si="31"/>
        <v>5000</v>
      </c>
      <c r="J136" s="85">
        <f t="shared" si="30"/>
        <v>8.3333333333333329E-2</v>
      </c>
      <c r="K136" s="85">
        <f t="shared" si="28"/>
        <v>1.7347121970924651E-5</v>
      </c>
      <c r="L136" s="86">
        <f>+I136-H136*50%</f>
        <v>-25000</v>
      </c>
    </row>
    <row r="137" spans="1:12" ht="25.5" x14ac:dyDescent="0.25">
      <c r="A137" s="32"/>
      <c r="B137" s="33"/>
      <c r="C137" s="39" t="s">
        <v>327</v>
      </c>
      <c r="D137" s="88" t="s">
        <v>320</v>
      </c>
      <c r="E137" s="34"/>
      <c r="F137" s="89" t="s">
        <v>69</v>
      </c>
      <c r="G137" s="35">
        <v>79000</v>
      </c>
      <c r="H137" s="35">
        <v>60000</v>
      </c>
      <c r="I137" s="35">
        <v>5000</v>
      </c>
      <c r="J137" s="90">
        <f t="shared" si="30"/>
        <v>8.3333333333333329E-2</v>
      </c>
      <c r="K137" s="90">
        <f t="shared" si="28"/>
        <v>1.7347121970924651E-5</v>
      </c>
      <c r="L137" s="36">
        <f t="shared" si="29"/>
        <v>-25000</v>
      </c>
    </row>
    <row r="138" spans="1:12" s="1" customFormat="1" ht="18" customHeight="1" x14ac:dyDescent="0.25">
      <c r="A138" s="31"/>
      <c r="B138" s="81">
        <v>60052</v>
      </c>
      <c r="C138" s="82"/>
      <c r="D138" s="82"/>
      <c r="E138" s="82"/>
      <c r="F138" s="83" t="s">
        <v>70</v>
      </c>
      <c r="G138" s="84">
        <f>+G139+G140</f>
        <v>18078711</v>
      </c>
      <c r="H138" s="84">
        <f>SUM(H139:H140)</f>
        <v>18089305</v>
      </c>
      <c r="I138" s="84">
        <f t="shared" ref="I138" si="32">+I139+I140</f>
        <v>4537328.87</v>
      </c>
      <c r="J138" s="85">
        <f t="shared" si="30"/>
        <v>0.25082936409110246</v>
      </c>
      <c r="K138" s="85">
        <f t="shared" si="28"/>
        <v>1.5741919466017544E-2</v>
      </c>
      <c r="L138" s="86">
        <f>+I138-H138*50%</f>
        <v>-4507323.63</v>
      </c>
    </row>
    <row r="139" spans="1:12" ht="20.25" customHeight="1" x14ac:dyDescent="0.25">
      <c r="A139" s="32"/>
      <c r="B139" s="44"/>
      <c r="C139" s="39" t="s">
        <v>491</v>
      </c>
      <c r="D139" s="88" t="s">
        <v>320</v>
      </c>
      <c r="E139" s="34"/>
      <c r="F139" s="89" t="s">
        <v>71</v>
      </c>
      <c r="G139" s="35">
        <v>38111</v>
      </c>
      <c r="H139" s="35">
        <v>36205</v>
      </c>
      <c r="I139" s="35">
        <v>0</v>
      </c>
      <c r="J139" s="90">
        <f t="shared" si="30"/>
        <v>0</v>
      </c>
      <c r="K139" s="90">
        <f t="shared" si="28"/>
        <v>0</v>
      </c>
      <c r="L139" s="36">
        <f t="shared" si="29"/>
        <v>-18102.5</v>
      </c>
    </row>
    <row r="140" spans="1:12" ht="25.5" x14ac:dyDescent="0.25">
      <c r="A140" s="32"/>
      <c r="B140" s="38"/>
      <c r="C140" s="39" t="s">
        <v>491</v>
      </c>
      <c r="D140" s="88" t="s">
        <v>323</v>
      </c>
      <c r="E140" s="34" t="s">
        <v>390</v>
      </c>
      <c r="F140" s="89" t="s">
        <v>444</v>
      </c>
      <c r="G140" s="35">
        <v>18040600</v>
      </c>
      <c r="H140" s="35">
        <v>18053100</v>
      </c>
      <c r="I140" s="35">
        <v>4537328.87</v>
      </c>
      <c r="J140" s="90">
        <f t="shared" si="30"/>
        <v>0.25133239554425557</v>
      </c>
      <c r="K140" s="90">
        <f t="shared" ref="K140:K201" si="33">I140/$I$9</f>
        <v>1.5741919466017544E-2</v>
      </c>
      <c r="L140" s="36">
        <f t="shared" ref="L140" si="34">+I140-H140*50%</f>
        <v>-4489221.13</v>
      </c>
    </row>
    <row r="141" spans="1:12" s="1" customFormat="1" ht="20.25" customHeight="1" x14ac:dyDescent="0.25">
      <c r="A141" s="31"/>
      <c r="B141" s="81">
        <v>60095</v>
      </c>
      <c r="C141" s="82"/>
      <c r="D141" s="82"/>
      <c r="E141" s="82"/>
      <c r="F141" s="83" t="s">
        <v>18</v>
      </c>
      <c r="G141" s="84">
        <f>+G142+G143+G144+G145+G146+G147+G148+G149+G150+G151</f>
        <v>2691855</v>
      </c>
      <c r="H141" s="84">
        <f>SUM(H142:H151)</f>
        <v>4455377</v>
      </c>
      <c r="I141" s="84">
        <f t="shared" ref="I141" si="35">+I142+I143+I144+I145+I146+I147+I148+I149+I150+I151</f>
        <v>122174.91</v>
      </c>
      <c r="J141" s="85">
        <f t="shared" si="30"/>
        <v>2.7421901670722816E-2</v>
      </c>
      <c r="K141" s="85">
        <f t="shared" si="33"/>
        <v>4.2387661311134837E-4</v>
      </c>
      <c r="L141" s="86">
        <f>+I141-H141*50%</f>
        <v>-2105513.59</v>
      </c>
    </row>
    <row r="142" spans="1:12" ht="25.5" x14ac:dyDescent="0.25">
      <c r="A142" s="32"/>
      <c r="B142" s="44"/>
      <c r="C142" s="39" t="s">
        <v>327</v>
      </c>
      <c r="D142" s="88" t="s">
        <v>320</v>
      </c>
      <c r="E142" s="34"/>
      <c r="F142" s="89" t="s">
        <v>72</v>
      </c>
      <c r="G142" s="35">
        <v>8000</v>
      </c>
      <c r="H142" s="35">
        <v>8000</v>
      </c>
      <c r="I142" s="35">
        <v>0</v>
      </c>
      <c r="J142" s="90">
        <f t="shared" si="30"/>
        <v>0</v>
      </c>
      <c r="K142" s="90">
        <f t="shared" si="33"/>
        <v>0</v>
      </c>
      <c r="L142" s="36">
        <f t="shared" ref="L142:L151" si="36">+I142-H142*50%</f>
        <v>-4000</v>
      </c>
    </row>
    <row r="143" spans="1:12" ht="38.25" x14ac:dyDescent="0.25">
      <c r="A143" s="32"/>
      <c r="B143" s="37"/>
      <c r="C143" s="39" t="s">
        <v>327</v>
      </c>
      <c r="D143" s="88" t="s">
        <v>320</v>
      </c>
      <c r="E143" s="34"/>
      <c r="F143" s="89" t="s">
        <v>73</v>
      </c>
      <c r="G143" s="35">
        <v>441407</v>
      </c>
      <c r="H143" s="35">
        <v>538507</v>
      </c>
      <c r="I143" s="35">
        <v>91089.45</v>
      </c>
      <c r="J143" s="90">
        <f t="shared" si="30"/>
        <v>0.16915184018035048</v>
      </c>
      <c r="K143" s="90">
        <f t="shared" si="33"/>
        <v>3.1602795988288848E-4</v>
      </c>
      <c r="L143" s="36">
        <f t="shared" si="36"/>
        <v>-178164.05</v>
      </c>
    </row>
    <row r="144" spans="1:12" ht="25.5" x14ac:dyDescent="0.25">
      <c r="A144" s="32"/>
      <c r="B144" s="37"/>
      <c r="C144" s="39" t="s">
        <v>327</v>
      </c>
      <c r="D144" s="88" t="s">
        <v>320</v>
      </c>
      <c r="E144" s="34"/>
      <c r="F144" s="89" t="s">
        <v>74</v>
      </c>
      <c r="G144" s="35">
        <v>2000</v>
      </c>
      <c r="H144" s="35">
        <v>0</v>
      </c>
      <c r="I144" s="35">
        <v>0</v>
      </c>
      <c r="J144" s="90"/>
      <c r="K144" s="90">
        <f t="shared" si="33"/>
        <v>0</v>
      </c>
      <c r="L144" s="36">
        <f t="shared" si="36"/>
        <v>0</v>
      </c>
    </row>
    <row r="145" spans="1:12" ht="42" customHeight="1" x14ac:dyDescent="0.25">
      <c r="A145" s="32"/>
      <c r="B145" s="37"/>
      <c r="C145" s="39" t="s">
        <v>327</v>
      </c>
      <c r="D145" s="88" t="s">
        <v>320</v>
      </c>
      <c r="E145" s="34" t="s">
        <v>390</v>
      </c>
      <c r="F145" s="89" t="s">
        <v>445</v>
      </c>
      <c r="G145" s="35">
        <v>331568</v>
      </c>
      <c r="H145" s="35">
        <v>265090</v>
      </c>
      <c r="I145" s="35">
        <v>22201.96</v>
      </c>
      <c r="J145" s="90">
        <f t="shared" ref="J145:J208" si="37">I145/H145</f>
        <v>8.3752536874269118E-2</v>
      </c>
      <c r="K145" s="90">
        <f t="shared" si="33"/>
        <v>7.7028021622718056E-5</v>
      </c>
      <c r="L145" s="36">
        <f t="shared" si="36"/>
        <v>-110343.04000000001</v>
      </c>
    </row>
    <row r="146" spans="1:12" ht="25.5" x14ac:dyDescent="0.25">
      <c r="A146" s="40"/>
      <c r="B146" s="134"/>
      <c r="C146" s="39" t="s">
        <v>327</v>
      </c>
      <c r="D146" s="88" t="s">
        <v>320</v>
      </c>
      <c r="E146" s="34"/>
      <c r="F146" s="89" t="s">
        <v>75</v>
      </c>
      <c r="G146" s="35">
        <v>17100</v>
      </c>
      <c r="H146" s="35">
        <v>0</v>
      </c>
      <c r="I146" s="35">
        <v>0</v>
      </c>
      <c r="J146" s="90"/>
      <c r="K146" s="90">
        <f t="shared" si="33"/>
        <v>0</v>
      </c>
      <c r="L146" s="36">
        <f t="shared" si="36"/>
        <v>0</v>
      </c>
    </row>
    <row r="147" spans="1:12" ht="25.5" x14ac:dyDescent="0.25">
      <c r="A147" s="32"/>
      <c r="B147" s="37"/>
      <c r="C147" s="39" t="s">
        <v>327</v>
      </c>
      <c r="D147" s="88" t="s">
        <v>323</v>
      </c>
      <c r="E147" s="34" t="s">
        <v>390</v>
      </c>
      <c r="F147" s="89" t="s">
        <v>446</v>
      </c>
      <c r="G147" s="35">
        <v>1500000</v>
      </c>
      <c r="H147" s="35">
        <v>3302000</v>
      </c>
      <c r="I147" s="35">
        <v>0</v>
      </c>
      <c r="J147" s="90">
        <f t="shared" si="37"/>
        <v>0</v>
      </c>
      <c r="K147" s="90">
        <f t="shared" si="33"/>
        <v>0</v>
      </c>
      <c r="L147" s="36">
        <f t="shared" si="36"/>
        <v>-1651000</v>
      </c>
    </row>
    <row r="148" spans="1:12" ht="26.25" customHeight="1" x14ac:dyDescent="0.25">
      <c r="A148" s="32"/>
      <c r="B148" s="37"/>
      <c r="C148" s="87" t="s">
        <v>331</v>
      </c>
      <c r="D148" s="88" t="s">
        <v>320</v>
      </c>
      <c r="E148" s="34"/>
      <c r="F148" s="89" t="s">
        <v>76</v>
      </c>
      <c r="G148" s="35">
        <v>265000</v>
      </c>
      <c r="H148" s="35">
        <v>215000</v>
      </c>
      <c r="I148" s="35">
        <v>692</v>
      </c>
      <c r="J148" s="90">
        <f t="shared" si="37"/>
        <v>3.2186046511627907E-3</v>
      </c>
      <c r="K148" s="90">
        <f t="shared" si="33"/>
        <v>2.4008416807759719E-6</v>
      </c>
      <c r="L148" s="36">
        <f t="shared" si="36"/>
        <v>-106808</v>
      </c>
    </row>
    <row r="149" spans="1:12" ht="24.75" customHeight="1" x14ac:dyDescent="0.25">
      <c r="A149" s="32"/>
      <c r="B149" s="37"/>
      <c r="C149" s="87" t="s">
        <v>331</v>
      </c>
      <c r="D149" s="88" t="s">
        <v>320</v>
      </c>
      <c r="E149" s="34"/>
      <c r="F149" s="89" t="s">
        <v>77</v>
      </c>
      <c r="G149" s="35">
        <v>20000</v>
      </c>
      <c r="H149" s="35">
        <v>20000</v>
      </c>
      <c r="I149" s="35">
        <v>8191.5</v>
      </c>
      <c r="J149" s="90">
        <f t="shared" si="37"/>
        <v>0.40957500000000002</v>
      </c>
      <c r="K149" s="90">
        <f t="shared" si="33"/>
        <v>2.8419789924965855E-5</v>
      </c>
      <c r="L149" s="36">
        <f t="shared" si="36"/>
        <v>-1808.5</v>
      </c>
    </row>
    <row r="150" spans="1:12" ht="30" customHeight="1" x14ac:dyDescent="0.25">
      <c r="A150" s="32"/>
      <c r="B150" s="37"/>
      <c r="C150" s="87" t="s">
        <v>331</v>
      </c>
      <c r="D150" s="88" t="s">
        <v>320</v>
      </c>
      <c r="E150" s="34"/>
      <c r="F150" s="89" t="s">
        <v>78</v>
      </c>
      <c r="G150" s="35">
        <v>1000</v>
      </c>
      <c r="H150" s="35">
        <v>1000</v>
      </c>
      <c r="I150" s="35">
        <v>0</v>
      </c>
      <c r="J150" s="90">
        <f t="shared" si="37"/>
        <v>0</v>
      </c>
      <c r="K150" s="90">
        <f t="shared" si="33"/>
        <v>0</v>
      </c>
      <c r="L150" s="36">
        <f t="shared" si="36"/>
        <v>-500</v>
      </c>
    </row>
    <row r="151" spans="1:12" ht="42.75" customHeight="1" x14ac:dyDescent="0.25">
      <c r="A151" s="40"/>
      <c r="B151" s="38"/>
      <c r="C151" s="87" t="s">
        <v>331</v>
      </c>
      <c r="D151" s="88" t="s">
        <v>323</v>
      </c>
      <c r="E151" s="34" t="s">
        <v>390</v>
      </c>
      <c r="F151" s="89" t="s">
        <v>447</v>
      </c>
      <c r="G151" s="35">
        <v>105780</v>
      </c>
      <c r="H151" s="35">
        <v>105780</v>
      </c>
      <c r="I151" s="35">
        <v>0</v>
      </c>
      <c r="J151" s="90">
        <f t="shared" si="37"/>
        <v>0</v>
      </c>
      <c r="K151" s="90">
        <f t="shared" si="33"/>
        <v>0</v>
      </c>
      <c r="L151" s="36">
        <f t="shared" si="36"/>
        <v>-52890</v>
      </c>
    </row>
    <row r="152" spans="1:12" s="2" customFormat="1" ht="15.75" x14ac:dyDescent="0.25">
      <c r="A152" s="76" t="s">
        <v>79</v>
      </c>
      <c r="B152" s="77"/>
      <c r="C152" s="164" t="s">
        <v>80</v>
      </c>
      <c r="D152" s="164"/>
      <c r="E152" s="164"/>
      <c r="F152" s="165"/>
      <c r="G152" s="92">
        <f>+G153+G158</f>
        <v>2116409</v>
      </c>
      <c r="H152" s="92">
        <f t="shared" ref="H152:I152" si="38">+H153+H158</f>
        <v>2927403</v>
      </c>
      <c r="I152" s="92">
        <f t="shared" si="38"/>
        <v>1497694.57</v>
      </c>
      <c r="J152" s="93">
        <f t="shared" si="37"/>
        <v>0.51161202266992278</v>
      </c>
      <c r="K152" s="93">
        <f t="shared" si="33"/>
        <v>5.19613807619631E-3</v>
      </c>
      <c r="L152" s="92">
        <f t="shared" ref="L152" si="39">+L153+L158</f>
        <v>33993.070000000007</v>
      </c>
    </row>
    <row r="153" spans="1:12" s="1" customFormat="1" x14ac:dyDescent="0.25">
      <c r="A153" s="31"/>
      <c r="B153" s="81">
        <v>63003</v>
      </c>
      <c r="C153" s="82"/>
      <c r="D153" s="82"/>
      <c r="E153" s="82"/>
      <c r="F153" s="83" t="s">
        <v>81</v>
      </c>
      <c r="G153" s="84">
        <f>+G154+G155+G156+G157</f>
        <v>1851409</v>
      </c>
      <c r="H153" s="84">
        <f>SUM(H154:H157)</f>
        <v>1851409</v>
      </c>
      <c r="I153" s="84">
        <f t="shared" ref="I153" si="40">+I154+I155+I156+I157</f>
        <v>1149289.53</v>
      </c>
      <c r="J153" s="85">
        <f t="shared" si="37"/>
        <v>0.62076479589328992</v>
      </c>
      <c r="K153" s="85">
        <f t="shared" si="33"/>
        <v>3.9873731313633332E-3</v>
      </c>
      <c r="L153" s="86">
        <f>+I153-H153*50%</f>
        <v>223585.03000000003</v>
      </c>
    </row>
    <row r="154" spans="1:12" ht="25.5" x14ac:dyDescent="0.25">
      <c r="A154" s="32"/>
      <c r="B154" s="44"/>
      <c r="C154" s="39" t="s">
        <v>329</v>
      </c>
      <c r="D154" s="88" t="s">
        <v>320</v>
      </c>
      <c r="E154" s="34"/>
      <c r="F154" s="89" t="s">
        <v>82</v>
      </c>
      <c r="G154" s="35">
        <v>661200</v>
      </c>
      <c r="H154" s="35">
        <v>661200</v>
      </c>
      <c r="I154" s="35">
        <v>491802.93</v>
      </c>
      <c r="J154" s="90">
        <f t="shared" si="37"/>
        <v>0.74380358439201455</v>
      </c>
      <c r="K154" s="90">
        <f t="shared" si="33"/>
        <v>1.7062730824736238E-3</v>
      </c>
      <c r="L154" s="36">
        <f t="shared" ref="L154:L161" si="41">+I154-H154*50%</f>
        <v>161202.93</v>
      </c>
    </row>
    <row r="155" spans="1:12" ht="15" x14ac:dyDescent="0.25">
      <c r="A155" s="32"/>
      <c r="B155" s="37"/>
      <c r="C155" s="39" t="s">
        <v>329</v>
      </c>
      <c r="D155" s="88" t="s">
        <v>320</v>
      </c>
      <c r="E155" s="34"/>
      <c r="F155" s="89" t="s">
        <v>83</v>
      </c>
      <c r="G155" s="35">
        <v>600000</v>
      </c>
      <c r="H155" s="35">
        <v>600000</v>
      </c>
      <c r="I155" s="35">
        <v>600000</v>
      </c>
      <c r="J155" s="90">
        <f t="shared" si="37"/>
        <v>1</v>
      </c>
      <c r="K155" s="90">
        <f t="shared" si="33"/>
        <v>2.0816546365109581E-3</v>
      </c>
      <c r="L155" s="36">
        <f t="shared" si="41"/>
        <v>300000</v>
      </c>
    </row>
    <row r="156" spans="1:12" ht="51.75" customHeight="1" x14ac:dyDescent="0.25">
      <c r="A156" s="32"/>
      <c r="B156" s="37"/>
      <c r="C156" s="39" t="s">
        <v>329</v>
      </c>
      <c r="D156" s="88" t="s">
        <v>320</v>
      </c>
      <c r="E156" s="34" t="s">
        <v>390</v>
      </c>
      <c r="F156" s="89" t="s">
        <v>448</v>
      </c>
      <c r="G156" s="35">
        <v>360209</v>
      </c>
      <c r="H156" s="35">
        <v>360209</v>
      </c>
      <c r="I156" s="35">
        <v>22679.52</v>
      </c>
      <c r="J156" s="90">
        <f t="shared" si="37"/>
        <v>6.2962113661790789E-2</v>
      </c>
      <c r="K156" s="90">
        <f t="shared" si="33"/>
        <v>7.8684879936405012E-5</v>
      </c>
      <c r="L156" s="36">
        <f t="shared" si="41"/>
        <v>-157424.98000000001</v>
      </c>
    </row>
    <row r="157" spans="1:12" ht="42" customHeight="1" x14ac:dyDescent="0.25">
      <c r="A157" s="32"/>
      <c r="B157" s="38"/>
      <c r="C157" s="39" t="s">
        <v>329</v>
      </c>
      <c r="D157" s="88" t="s">
        <v>320</v>
      </c>
      <c r="E157" s="34" t="s">
        <v>390</v>
      </c>
      <c r="F157" s="89" t="s">
        <v>449</v>
      </c>
      <c r="G157" s="35">
        <v>230000</v>
      </c>
      <c r="H157" s="35">
        <v>230000</v>
      </c>
      <c r="I157" s="35">
        <v>34807.08</v>
      </c>
      <c r="J157" s="90">
        <f t="shared" si="37"/>
        <v>0.15133513043478261</v>
      </c>
      <c r="K157" s="90">
        <f t="shared" si="33"/>
        <v>1.2076053244234641E-4</v>
      </c>
      <c r="L157" s="36">
        <f t="shared" si="41"/>
        <v>-80192.92</v>
      </c>
    </row>
    <row r="158" spans="1:12" s="1" customFormat="1" x14ac:dyDescent="0.25">
      <c r="A158" s="32"/>
      <c r="B158" s="81" t="s">
        <v>471</v>
      </c>
      <c r="C158" s="82"/>
      <c r="D158" s="82"/>
      <c r="E158" s="82"/>
      <c r="F158" s="83" t="s">
        <v>18</v>
      </c>
      <c r="G158" s="84">
        <f>+G159+G160+G161</f>
        <v>265000</v>
      </c>
      <c r="H158" s="84">
        <f>SUM(H159:H161)</f>
        <v>1075994</v>
      </c>
      <c r="I158" s="84">
        <f t="shared" ref="I158" si="42">+I159+I160+I161</f>
        <v>348405.04</v>
      </c>
      <c r="J158" s="85">
        <f t="shared" si="37"/>
        <v>0.3237983111429989</v>
      </c>
      <c r="K158" s="85">
        <f t="shared" si="33"/>
        <v>1.2087649448329764E-3</v>
      </c>
      <c r="L158" s="86">
        <f>+I158-H158*50%</f>
        <v>-189591.96000000002</v>
      </c>
    </row>
    <row r="159" spans="1:12" ht="20.25" customHeight="1" x14ac:dyDescent="0.25">
      <c r="A159" s="32"/>
      <c r="B159" s="37"/>
      <c r="C159" s="39" t="s">
        <v>326</v>
      </c>
      <c r="D159" s="102" t="s">
        <v>323</v>
      </c>
      <c r="E159" s="34"/>
      <c r="F159" s="89" t="s">
        <v>84</v>
      </c>
      <c r="G159" s="35">
        <v>0</v>
      </c>
      <c r="H159" s="35">
        <v>810994</v>
      </c>
      <c r="I159" s="35">
        <v>339667.44</v>
      </c>
      <c r="J159" s="90">
        <f t="shared" si="37"/>
        <v>0.41882854866990382</v>
      </c>
      <c r="K159" s="90">
        <f t="shared" si="33"/>
        <v>1.1784505022463462E-3</v>
      </c>
      <c r="L159" s="36">
        <f t="shared" si="41"/>
        <v>-65829.56</v>
      </c>
    </row>
    <row r="160" spans="1:12" ht="27.75" customHeight="1" x14ac:dyDescent="0.25">
      <c r="A160" s="32"/>
      <c r="B160" s="37"/>
      <c r="C160" s="39" t="s">
        <v>329</v>
      </c>
      <c r="D160" s="88" t="s">
        <v>320</v>
      </c>
      <c r="E160" s="34"/>
      <c r="F160" s="89" t="s">
        <v>85</v>
      </c>
      <c r="G160" s="35">
        <v>65000</v>
      </c>
      <c r="H160" s="35">
        <v>65000</v>
      </c>
      <c r="I160" s="35">
        <v>0</v>
      </c>
      <c r="J160" s="90">
        <f t="shared" si="37"/>
        <v>0</v>
      </c>
      <c r="K160" s="90">
        <f t="shared" si="33"/>
        <v>0</v>
      </c>
      <c r="L160" s="36">
        <f t="shared" si="41"/>
        <v>-32500</v>
      </c>
    </row>
    <row r="161" spans="1:12" ht="15" x14ac:dyDescent="0.25">
      <c r="A161" s="40"/>
      <c r="B161" s="38"/>
      <c r="C161" s="39" t="s">
        <v>329</v>
      </c>
      <c r="D161" s="88" t="s">
        <v>320</v>
      </c>
      <c r="E161" s="34"/>
      <c r="F161" s="89" t="s">
        <v>86</v>
      </c>
      <c r="G161" s="35">
        <v>200000</v>
      </c>
      <c r="H161" s="35">
        <v>200000</v>
      </c>
      <c r="I161" s="35">
        <v>8737.6</v>
      </c>
      <c r="J161" s="90">
        <f t="shared" si="37"/>
        <v>4.3688000000000005E-2</v>
      </c>
      <c r="K161" s="90">
        <f t="shared" si="33"/>
        <v>3.0314442586630249E-5</v>
      </c>
      <c r="L161" s="36">
        <f t="shared" si="41"/>
        <v>-91262.399999999994</v>
      </c>
    </row>
    <row r="162" spans="1:12" s="2" customFormat="1" ht="18" customHeight="1" x14ac:dyDescent="0.25">
      <c r="A162" s="76" t="s">
        <v>87</v>
      </c>
      <c r="B162" s="77"/>
      <c r="C162" s="164" t="s">
        <v>88</v>
      </c>
      <c r="D162" s="164"/>
      <c r="E162" s="164"/>
      <c r="F162" s="165"/>
      <c r="G162" s="92">
        <f>+G163</f>
        <v>6137315</v>
      </c>
      <c r="H162" s="92">
        <f t="shared" ref="H162:I162" si="43">+H163</f>
        <v>6137315</v>
      </c>
      <c r="I162" s="92">
        <f t="shared" si="43"/>
        <v>2748387.66</v>
      </c>
      <c r="J162" s="93">
        <f t="shared" si="37"/>
        <v>0.44781596838356841</v>
      </c>
      <c r="K162" s="93">
        <f t="shared" si="33"/>
        <v>9.5353231922808389E-3</v>
      </c>
      <c r="L162" s="92">
        <f t="shared" ref="L162" si="44">+L163</f>
        <v>-320269.83999999985</v>
      </c>
    </row>
    <row r="163" spans="1:12" s="1" customFormat="1" x14ac:dyDescent="0.25">
      <c r="A163" s="31"/>
      <c r="B163" s="81">
        <v>70005</v>
      </c>
      <c r="C163" s="82"/>
      <c r="D163" s="82"/>
      <c r="E163" s="82"/>
      <c r="F163" s="83" t="s">
        <v>89</v>
      </c>
      <c r="G163" s="84">
        <f>+G164+G165+G166+G167+G168+G169+G170+G172+G173+G171</f>
        <v>6137315</v>
      </c>
      <c r="H163" s="84">
        <f>SUM(H164:H173)</f>
        <v>6137315</v>
      </c>
      <c r="I163" s="84">
        <f t="shared" ref="I163" si="45">+I164+I165+I166+I167+I168+I169+I170+I172+I173+I171</f>
        <v>2748387.66</v>
      </c>
      <c r="J163" s="85">
        <f t="shared" si="37"/>
        <v>0.44781596838356841</v>
      </c>
      <c r="K163" s="85">
        <f t="shared" si="33"/>
        <v>9.5353231922808389E-3</v>
      </c>
      <c r="L163" s="86">
        <f>+I163-H163*50%</f>
        <v>-320269.83999999985</v>
      </c>
    </row>
    <row r="164" spans="1:12" ht="25.5" x14ac:dyDescent="0.25">
      <c r="A164" s="32"/>
      <c r="B164" s="44"/>
      <c r="C164" s="39" t="s">
        <v>492</v>
      </c>
      <c r="D164" s="88" t="s">
        <v>320</v>
      </c>
      <c r="E164" s="34"/>
      <c r="F164" s="89" t="s">
        <v>90</v>
      </c>
      <c r="G164" s="35">
        <v>521837</v>
      </c>
      <c r="H164" s="35">
        <v>536137</v>
      </c>
      <c r="I164" s="35">
        <v>222834.3</v>
      </c>
      <c r="J164" s="90">
        <f t="shared" si="37"/>
        <v>0.41562940069422555</v>
      </c>
      <c r="K164" s="90">
        <f t="shared" si="33"/>
        <v>7.7310675628112298E-4</v>
      </c>
      <c r="L164" s="36">
        <f t="shared" ref="L164:L173" si="46">+I164-H164*50%</f>
        <v>-45234.200000000012</v>
      </c>
    </row>
    <row r="165" spans="1:12" ht="15" x14ac:dyDescent="0.25">
      <c r="A165" s="32"/>
      <c r="B165" s="37"/>
      <c r="C165" s="39" t="s">
        <v>492</v>
      </c>
      <c r="D165" s="88" t="s">
        <v>320</v>
      </c>
      <c r="E165" s="34"/>
      <c r="F165" s="89" t="s">
        <v>91</v>
      </c>
      <c r="G165" s="35">
        <v>19500</v>
      </c>
      <c r="H165" s="35">
        <v>19500</v>
      </c>
      <c r="I165" s="35">
        <v>2000</v>
      </c>
      <c r="J165" s="90">
        <f t="shared" si="37"/>
        <v>0.10256410256410256</v>
      </c>
      <c r="K165" s="90">
        <f t="shared" si="33"/>
        <v>6.9388487883698602E-6</v>
      </c>
      <c r="L165" s="36">
        <f t="shared" si="46"/>
        <v>-7750</v>
      </c>
    </row>
    <row r="166" spans="1:12" ht="26.25" customHeight="1" x14ac:dyDescent="0.25">
      <c r="A166" s="32"/>
      <c r="B166" s="37"/>
      <c r="C166" s="39" t="s">
        <v>492</v>
      </c>
      <c r="D166" s="88" t="s">
        <v>320</v>
      </c>
      <c r="E166" s="34"/>
      <c r="F166" s="89" t="s">
        <v>92</v>
      </c>
      <c r="G166" s="35">
        <v>168892</v>
      </c>
      <c r="H166" s="35">
        <v>164392</v>
      </c>
      <c r="I166" s="35">
        <v>25586.23</v>
      </c>
      <c r="J166" s="90">
        <f t="shared" si="37"/>
        <v>0.15564157623242006</v>
      </c>
      <c r="K166" s="90">
        <f t="shared" si="33"/>
        <v>8.8769490517226287E-5</v>
      </c>
      <c r="L166" s="36">
        <f t="shared" si="46"/>
        <v>-56609.770000000004</v>
      </c>
    </row>
    <row r="167" spans="1:12" ht="25.5" x14ac:dyDescent="0.25">
      <c r="A167" s="32"/>
      <c r="B167" s="37"/>
      <c r="C167" s="39" t="s">
        <v>492</v>
      </c>
      <c r="D167" s="88" t="s">
        <v>320</v>
      </c>
      <c r="E167" s="34"/>
      <c r="F167" s="89" t="s">
        <v>93</v>
      </c>
      <c r="G167" s="35">
        <v>904560</v>
      </c>
      <c r="H167" s="35">
        <v>894760</v>
      </c>
      <c r="I167" s="35">
        <v>73522.97</v>
      </c>
      <c r="J167" s="90">
        <f t="shared" si="37"/>
        <v>8.2170604407885914E-2</v>
      </c>
      <c r="K167" s="90">
        <f t="shared" si="33"/>
        <v>2.5508238565092678E-4</v>
      </c>
      <c r="L167" s="36">
        <f t="shared" si="46"/>
        <v>-373857.03</v>
      </c>
    </row>
    <row r="168" spans="1:12" ht="43.5" customHeight="1" x14ac:dyDescent="0.25">
      <c r="A168" s="32"/>
      <c r="B168" s="37"/>
      <c r="C168" s="39" t="s">
        <v>492</v>
      </c>
      <c r="D168" s="88" t="s">
        <v>320</v>
      </c>
      <c r="E168" s="34"/>
      <c r="F168" s="89" t="s">
        <v>94</v>
      </c>
      <c r="G168" s="35">
        <v>72097</v>
      </c>
      <c r="H168" s="35">
        <v>72097</v>
      </c>
      <c r="I168" s="35">
        <v>18402</v>
      </c>
      <c r="J168" s="90">
        <f t="shared" si="37"/>
        <v>0.25523946904864281</v>
      </c>
      <c r="K168" s="90">
        <f t="shared" si="33"/>
        <v>6.3844347701791086E-5</v>
      </c>
      <c r="L168" s="36">
        <f t="shared" si="46"/>
        <v>-17646.5</v>
      </c>
    </row>
    <row r="169" spans="1:12" ht="42.75" customHeight="1" x14ac:dyDescent="0.25">
      <c r="A169" s="32"/>
      <c r="B169" s="37"/>
      <c r="C169" s="39" t="s">
        <v>492</v>
      </c>
      <c r="D169" s="88" t="s">
        <v>320</v>
      </c>
      <c r="E169" s="34"/>
      <c r="F169" s="89" t="s">
        <v>95</v>
      </c>
      <c r="G169" s="35">
        <v>44600</v>
      </c>
      <c r="H169" s="35">
        <v>44600</v>
      </c>
      <c r="I169" s="35">
        <v>8748.25</v>
      </c>
      <c r="J169" s="90">
        <f t="shared" si="37"/>
        <v>0.19614910313901346</v>
      </c>
      <c r="K169" s="90">
        <f t="shared" si="33"/>
        <v>3.0351391956428317E-5</v>
      </c>
      <c r="L169" s="36">
        <f t="shared" si="46"/>
        <v>-13551.75</v>
      </c>
    </row>
    <row r="170" spans="1:12" ht="35.25" customHeight="1" x14ac:dyDescent="0.25">
      <c r="A170" s="32"/>
      <c r="B170" s="37"/>
      <c r="C170" s="39" t="s">
        <v>492</v>
      </c>
      <c r="D170" s="88" t="s">
        <v>323</v>
      </c>
      <c r="E170" s="34" t="s">
        <v>390</v>
      </c>
      <c r="F170" s="89" t="s">
        <v>450</v>
      </c>
      <c r="G170" s="35">
        <v>1920000</v>
      </c>
      <c r="H170" s="35">
        <v>1916840</v>
      </c>
      <c r="I170" s="35">
        <v>70434.47</v>
      </c>
      <c r="J170" s="90">
        <f t="shared" si="37"/>
        <v>3.6745096095657438E-2</v>
      </c>
      <c r="K170" s="90">
        <f t="shared" si="33"/>
        <v>2.4436706840948663E-4</v>
      </c>
      <c r="L170" s="36">
        <f t="shared" si="46"/>
        <v>-887985.53</v>
      </c>
    </row>
    <row r="171" spans="1:12" ht="35.25" customHeight="1" x14ac:dyDescent="0.25">
      <c r="A171" s="32"/>
      <c r="B171" s="37"/>
      <c r="C171" s="39" t="s">
        <v>492</v>
      </c>
      <c r="D171" s="88" t="s">
        <v>323</v>
      </c>
      <c r="E171" s="34" t="s">
        <v>390</v>
      </c>
      <c r="F171" s="89" t="s">
        <v>522</v>
      </c>
      <c r="G171" s="35">
        <v>0</v>
      </c>
      <c r="H171" s="35">
        <v>3160</v>
      </c>
      <c r="I171" s="35">
        <v>3153.91</v>
      </c>
      <c r="J171" s="90">
        <f t="shared" si="37"/>
        <v>0.99807278481012651</v>
      </c>
      <c r="K171" s="90">
        <f t="shared" si="33"/>
        <v>1.0942252291063793E-5</v>
      </c>
      <c r="L171" s="36">
        <f t="shared" si="46"/>
        <v>1573.9099999999999</v>
      </c>
    </row>
    <row r="172" spans="1:12" ht="28.5" customHeight="1" x14ac:dyDescent="0.25">
      <c r="A172" s="32"/>
      <c r="B172" s="37"/>
      <c r="C172" s="39" t="s">
        <v>492</v>
      </c>
      <c r="D172" s="88" t="s">
        <v>323</v>
      </c>
      <c r="E172" s="34" t="s">
        <v>390</v>
      </c>
      <c r="F172" s="89" t="s">
        <v>535</v>
      </c>
      <c r="G172" s="35">
        <v>545829</v>
      </c>
      <c r="H172" s="35">
        <v>545829</v>
      </c>
      <c r="I172" s="35">
        <v>454963.57</v>
      </c>
      <c r="J172" s="90">
        <f t="shared" si="37"/>
        <v>0.83352766159364933</v>
      </c>
      <c r="K172" s="90">
        <f t="shared" si="33"/>
        <v>1.5784617082234631E-3</v>
      </c>
      <c r="L172" s="36">
        <f t="shared" si="46"/>
        <v>182049.07</v>
      </c>
    </row>
    <row r="173" spans="1:12" ht="28.5" customHeight="1" x14ac:dyDescent="0.25">
      <c r="A173" s="40"/>
      <c r="B173" s="38"/>
      <c r="C173" s="39" t="s">
        <v>492</v>
      </c>
      <c r="D173" s="88" t="s">
        <v>323</v>
      </c>
      <c r="E173" s="34" t="s">
        <v>390</v>
      </c>
      <c r="F173" s="89" t="s">
        <v>451</v>
      </c>
      <c r="G173" s="35">
        <v>1940000</v>
      </c>
      <c r="H173" s="35">
        <v>1940000</v>
      </c>
      <c r="I173" s="35">
        <v>1868741.96</v>
      </c>
      <c r="J173" s="90">
        <f t="shared" si="37"/>
        <v>0.96326905154639175</v>
      </c>
      <c r="K173" s="90">
        <f t="shared" si="33"/>
        <v>6.4834589424609592E-3</v>
      </c>
      <c r="L173" s="36">
        <f t="shared" si="46"/>
        <v>898741.96</v>
      </c>
    </row>
    <row r="174" spans="1:12" s="2" customFormat="1" ht="19.5" customHeight="1" x14ac:dyDescent="0.25">
      <c r="A174" s="76" t="s">
        <v>96</v>
      </c>
      <c r="B174" s="77"/>
      <c r="C174" s="164" t="s">
        <v>97</v>
      </c>
      <c r="D174" s="164"/>
      <c r="E174" s="164"/>
      <c r="F174" s="165"/>
      <c r="G174" s="92">
        <f>+G175+G177+G181+G183</f>
        <v>3917719</v>
      </c>
      <c r="H174" s="92">
        <f>+H175+H177+H181+H183</f>
        <v>3640219</v>
      </c>
      <c r="I174" s="92">
        <f>+I175+I177+I181+I183</f>
        <v>1182370.6199999999</v>
      </c>
      <c r="J174" s="93">
        <f t="shared" si="37"/>
        <v>0.32480755141380224</v>
      </c>
      <c r="K174" s="93">
        <f t="shared" si="33"/>
        <v>4.1021454719955596E-3</v>
      </c>
      <c r="L174" s="103">
        <f>+I174-H174*50%</f>
        <v>-637738.88000000012</v>
      </c>
    </row>
    <row r="175" spans="1:12" s="1" customFormat="1" x14ac:dyDescent="0.25">
      <c r="A175" s="31"/>
      <c r="B175" s="81" t="s">
        <v>371</v>
      </c>
      <c r="C175" s="82"/>
      <c r="D175" s="82"/>
      <c r="E175" s="82"/>
      <c r="F175" s="83" t="s">
        <v>98</v>
      </c>
      <c r="G175" s="84">
        <f>+G176</f>
        <v>2619231</v>
      </c>
      <c r="H175" s="84">
        <f>+H176</f>
        <v>2619231</v>
      </c>
      <c r="I175" s="84">
        <f t="shared" ref="I175" si="47">+I176</f>
        <v>1106308.8799999999</v>
      </c>
      <c r="J175" s="85">
        <f t="shared" si="37"/>
        <v>0.42237927086232557</v>
      </c>
      <c r="K175" s="85">
        <f t="shared" si="33"/>
        <v>3.8382550157754084E-3</v>
      </c>
      <c r="L175" s="86">
        <f>+I175-H175*50%</f>
        <v>-203306.62000000011</v>
      </c>
    </row>
    <row r="176" spans="1:12" ht="38.25" x14ac:dyDescent="0.25">
      <c r="A176" s="32"/>
      <c r="B176" s="33"/>
      <c r="C176" s="39" t="s">
        <v>352</v>
      </c>
      <c r="D176" s="88" t="s">
        <v>320</v>
      </c>
      <c r="E176" s="34"/>
      <c r="F176" s="89" t="s">
        <v>99</v>
      </c>
      <c r="G176" s="35">
        <v>2619231</v>
      </c>
      <c r="H176" s="35">
        <v>2619231</v>
      </c>
      <c r="I176" s="35">
        <v>1106308.8799999999</v>
      </c>
      <c r="J176" s="90">
        <f t="shared" si="37"/>
        <v>0.42237927086232557</v>
      </c>
      <c r="K176" s="90">
        <f t="shared" si="33"/>
        <v>3.8382550157754084E-3</v>
      </c>
      <c r="L176" s="36">
        <f t="shared" ref="L176" si="48">+I176-H176*50%</f>
        <v>-203306.62000000011</v>
      </c>
    </row>
    <row r="177" spans="1:12" s="1" customFormat="1" x14ac:dyDescent="0.25">
      <c r="A177" s="31"/>
      <c r="B177" s="81" t="s">
        <v>370</v>
      </c>
      <c r="C177" s="82"/>
      <c r="D177" s="82"/>
      <c r="E177" s="82"/>
      <c r="F177" s="83" t="s">
        <v>100</v>
      </c>
      <c r="G177" s="84">
        <f>+G178+G179+G180</f>
        <v>174988</v>
      </c>
      <c r="H177" s="84">
        <f>SUM(H178:H180)</f>
        <v>174988</v>
      </c>
      <c r="I177" s="84">
        <f t="shared" ref="I177" si="49">+I178+I179+I180</f>
        <v>23895.65</v>
      </c>
      <c r="J177" s="85">
        <f t="shared" si="37"/>
        <v>0.1365559352641324</v>
      </c>
      <c r="K177" s="85">
        <f t="shared" si="33"/>
        <v>8.2904151024905138E-5</v>
      </c>
      <c r="L177" s="86">
        <f>+I177-H177*50%</f>
        <v>-63598.35</v>
      </c>
    </row>
    <row r="178" spans="1:12" ht="25.5" x14ac:dyDescent="0.25">
      <c r="A178" s="32"/>
      <c r="B178" s="44"/>
      <c r="C178" s="39" t="s">
        <v>327</v>
      </c>
      <c r="D178" s="88" t="s">
        <v>320</v>
      </c>
      <c r="E178" s="34"/>
      <c r="F178" s="89" t="s">
        <v>101</v>
      </c>
      <c r="G178" s="35">
        <v>105246</v>
      </c>
      <c r="H178" s="35">
        <v>105246</v>
      </c>
      <c r="I178" s="35">
        <v>23116.65</v>
      </c>
      <c r="J178" s="90">
        <f t="shared" si="37"/>
        <v>0.21964397696824584</v>
      </c>
      <c r="K178" s="90">
        <f t="shared" si="33"/>
        <v>8.0201469421835076E-5</v>
      </c>
      <c r="L178" s="36">
        <f t="shared" ref="L178:L180" si="50">+I178-H178*50%</f>
        <v>-29506.35</v>
      </c>
    </row>
    <row r="179" spans="1:12" ht="18" customHeight="1" x14ac:dyDescent="0.25">
      <c r="A179" s="32"/>
      <c r="B179" s="37"/>
      <c r="C179" s="39" t="s">
        <v>327</v>
      </c>
      <c r="D179" s="88" t="s">
        <v>320</v>
      </c>
      <c r="E179" s="34"/>
      <c r="F179" s="89" t="s">
        <v>102</v>
      </c>
      <c r="G179" s="35">
        <v>22616</v>
      </c>
      <c r="H179" s="35">
        <v>22616</v>
      </c>
      <c r="I179" s="35">
        <v>779</v>
      </c>
      <c r="J179" s="90">
        <f t="shared" si="37"/>
        <v>3.4444640962150691E-2</v>
      </c>
      <c r="K179" s="90">
        <f t="shared" si="33"/>
        <v>2.7026816030700609E-6</v>
      </c>
      <c r="L179" s="36">
        <f t="shared" si="50"/>
        <v>-10529</v>
      </c>
    </row>
    <row r="180" spans="1:12" ht="15" x14ac:dyDescent="0.25">
      <c r="A180" s="32"/>
      <c r="B180" s="38"/>
      <c r="C180" s="39" t="s">
        <v>327</v>
      </c>
      <c r="D180" s="88" t="s">
        <v>323</v>
      </c>
      <c r="E180" s="34"/>
      <c r="F180" s="89" t="s">
        <v>103</v>
      </c>
      <c r="G180" s="35">
        <v>47126</v>
      </c>
      <c r="H180" s="35">
        <v>47126</v>
      </c>
      <c r="I180" s="35">
        <v>0</v>
      </c>
      <c r="J180" s="90">
        <f t="shared" si="37"/>
        <v>0</v>
      </c>
      <c r="K180" s="90">
        <f t="shared" si="33"/>
        <v>0</v>
      </c>
      <c r="L180" s="36">
        <f t="shared" si="50"/>
        <v>-23563</v>
      </c>
    </row>
    <row r="181" spans="1:12" s="1" customFormat="1" ht="16.5" customHeight="1" x14ac:dyDescent="0.25">
      <c r="A181" s="31"/>
      <c r="B181" s="81" t="s">
        <v>368</v>
      </c>
      <c r="C181" s="82"/>
      <c r="D181" s="82"/>
      <c r="E181" s="82"/>
      <c r="F181" s="83" t="s">
        <v>106</v>
      </c>
      <c r="G181" s="84">
        <f>+G182</f>
        <v>600000</v>
      </c>
      <c r="H181" s="84">
        <f t="shared" ref="H181:I181" si="51">+H182</f>
        <v>600000</v>
      </c>
      <c r="I181" s="84">
        <f t="shared" si="51"/>
        <v>200</v>
      </c>
      <c r="J181" s="85">
        <f t="shared" si="37"/>
        <v>3.3333333333333332E-4</v>
      </c>
      <c r="K181" s="85">
        <f t="shared" si="33"/>
        <v>6.9388487883698611E-7</v>
      </c>
      <c r="L181" s="86">
        <f>+I181-H181*50%</f>
        <v>-299800</v>
      </c>
    </row>
    <row r="182" spans="1:12" ht="51" customHeight="1" x14ac:dyDescent="0.25">
      <c r="A182" s="32"/>
      <c r="B182" s="33"/>
      <c r="C182" s="39" t="s">
        <v>501</v>
      </c>
      <c r="D182" s="88" t="s">
        <v>320</v>
      </c>
      <c r="E182" s="34"/>
      <c r="F182" s="89" t="s">
        <v>107</v>
      </c>
      <c r="G182" s="35">
        <v>600000</v>
      </c>
      <c r="H182" s="35">
        <v>600000</v>
      </c>
      <c r="I182" s="35">
        <v>200</v>
      </c>
      <c r="J182" s="90">
        <f t="shared" si="37"/>
        <v>3.3333333333333332E-4</v>
      </c>
      <c r="K182" s="90">
        <f t="shared" si="33"/>
        <v>6.9388487883698611E-7</v>
      </c>
      <c r="L182" s="36">
        <f t="shared" ref="L182:L186" si="52">+I182-H182*50%</f>
        <v>-299800</v>
      </c>
    </row>
    <row r="183" spans="1:12" s="1" customFormat="1" x14ac:dyDescent="0.25">
      <c r="A183" s="31"/>
      <c r="B183" s="81" t="s">
        <v>367</v>
      </c>
      <c r="C183" s="82"/>
      <c r="D183" s="82"/>
      <c r="E183" s="82"/>
      <c r="F183" s="83" t="s">
        <v>18</v>
      </c>
      <c r="G183" s="84">
        <f>+G184+G185+G186</f>
        <v>523500</v>
      </c>
      <c r="H183" s="84">
        <f>SUM(H184:H186)</f>
        <v>246000</v>
      </c>
      <c r="I183" s="84">
        <f t="shared" ref="I183" si="53">+I184+I185+I186</f>
        <v>51966.09</v>
      </c>
      <c r="J183" s="85">
        <f t="shared" si="37"/>
        <v>0.21124426829268292</v>
      </c>
      <c r="K183" s="85">
        <f t="shared" si="33"/>
        <v>1.8029242031640955E-4</v>
      </c>
      <c r="L183" s="86">
        <f>+I183-H183*50%</f>
        <v>-71033.91</v>
      </c>
    </row>
    <row r="184" spans="1:12" ht="15" x14ac:dyDescent="0.25">
      <c r="A184" s="32"/>
      <c r="B184" s="42"/>
      <c r="C184" s="39" t="s">
        <v>327</v>
      </c>
      <c r="D184" s="88" t="s">
        <v>320</v>
      </c>
      <c r="E184" s="34"/>
      <c r="F184" s="89" t="s">
        <v>108</v>
      </c>
      <c r="G184" s="35">
        <v>119000</v>
      </c>
      <c r="H184" s="35">
        <v>50000</v>
      </c>
      <c r="I184" s="35">
        <v>369</v>
      </c>
      <c r="J184" s="90">
        <f t="shared" si="37"/>
        <v>7.3800000000000003E-3</v>
      </c>
      <c r="K184" s="90">
        <f t="shared" si="33"/>
        <v>1.2802176014542392E-6</v>
      </c>
      <c r="L184" s="36">
        <f t="shared" si="52"/>
        <v>-24631</v>
      </c>
    </row>
    <row r="185" spans="1:12" ht="15" x14ac:dyDescent="0.25">
      <c r="A185" s="32"/>
      <c r="B185" s="43"/>
      <c r="C185" s="39" t="s">
        <v>327</v>
      </c>
      <c r="D185" s="88" t="s">
        <v>320</v>
      </c>
      <c r="E185" s="34"/>
      <c r="F185" s="89" t="s">
        <v>109</v>
      </c>
      <c r="G185" s="35">
        <v>234500</v>
      </c>
      <c r="H185" s="35">
        <v>56000</v>
      </c>
      <c r="I185" s="35">
        <v>51597.09</v>
      </c>
      <c r="J185" s="90">
        <f t="shared" si="37"/>
        <v>0.92137660714285707</v>
      </c>
      <c r="K185" s="90">
        <f t="shared" si="33"/>
        <v>1.7901220271495532E-4</v>
      </c>
      <c r="L185" s="36">
        <f t="shared" si="52"/>
        <v>23597.089999999997</v>
      </c>
    </row>
    <row r="186" spans="1:12" ht="27.75" customHeight="1" x14ac:dyDescent="0.25">
      <c r="A186" s="40"/>
      <c r="B186" s="38"/>
      <c r="C186" s="39" t="s">
        <v>327</v>
      </c>
      <c r="D186" s="88" t="s">
        <v>320</v>
      </c>
      <c r="E186" s="34"/>
      <c r="F186" s="89" t="s">
        <v>110</v>
      </c>
      <c r="G186" s="35">
        <v>170000</v>
      </c>
      <c r="H186" s="35">
        <v>140000</v>
      </c>
      <c r="I186" s="35">
        <v>0</v>
      </c>
      <c r="J186" s="90">
        <f t="shared" si="37"/>
        <v>0</v>
      </c>
      <c r="K186" s="90">
        <f t="shared" si="33"/>
        <v>0</v>
      </c>
      <c r="L186" s="36">
        <f t="shared" si="52"/>
        <v>-70000</v>
      </c>
    </row>
    <row r="187" spans="1:12" s="2" customFormat="1" ht="15.75" x14ac:dyDescent="0.25">
      <c r="A187" s="76" t="s">
        <v>111</v>
      </c>
      <c r="B187" s="77"/>
      <c r="C187" s="164" t="s">
        <v>112</v>
      </c>
      <c r="D187" s="164"/>
      <c r="E187" s="164"/>
      <c r="F187" s="165"/>
      <c r="G187" s="92">
        <f>+G188+G195+G200+G226+G228+G230+G234</f>
        <v>79728215</v>
      </c>
      <c r="H187" s="92">
        <f>+H188+H195+H200+H226+H228+H230+H234</f>
        <v>78783798</v>
      </c>
      <c r="I187" s="92">
        <f>+I188+I195+I200+I226+I228+I230+I234</f>
        <v>35133837.93</v>
      </c>
      <c r="J187" s="93">
        <f t="shared" si="37"/>
        <v>0.44595257936155858</v>
      </c>
      <c r="K187" s="93">
        <f t="shared" si="33"/>
        <v>0.12189419437568177</v>
      </c>
      <c r="L187" s="92">
        <f>+L188+L195+L200+L226+L228+L230+L234</f>
        <v>-4258061.07</v>
      </c>
    </row>
    <row r="188" spans="1:12" s="1" customFormat="1" ht="18" customHeight="1" x14ac:dyDescent="0.25">
      <c r="A188" s="31"/>
      <c r="B188" s="81" t="s">
        <v>366</v>
      </c>
      <c r="C188" s="82"/>
      <c r="D188" s="82"/>
      <c r="E188" s="82"/>
      <c r="F188" s="83" t="s">
        <v>113</v>
      </c>
      <c r="G188" s="84">
        <f>SUM(G189:G194)</f>
        <v>1782519</v>
      </c>
      <c r="H188" s="84">
        <f>SUM(H189:H194)</f>
        <v>1667755</v>
      </c>
      <c r="I188" s="84">
        <f t="shared" ref="I188" si="54">SUM(I189:I194)</f>
        <v>718172.52</v>
      </c>
      <c r="J188" s="85">
        <f t="shared" si="37"/>
        <v>0.43062231562789499</v>
      </c>
      <c r="K188" s="85">
        <f t="shared" si="33"/>
        <v>2.4916452601212646E-3</v>
      </c>
      <c r="L188" s="84">
        <f t="shared" ref="L188" si="55">SUM(L189:L194)</f>
        <v>-115704.97999999997</v>
      </c>
    </row>
    <row r="189" spans="1:12" ht="25.5" x14ac:dyDescent="0.25">
      <c r="A189" s="40"/>
      <c r="B189" s="132"/>
      <c r="C189" s="87" t="s">
        <v>331</v>
      </c>
      <c r="D189" s="88" t="s">
        <v>320</v>
      </c>
      <c r="E189" s="34"/>
      <c r="F189" s="89" t="s">
        <v>114</v>
      </c>
      <c r="G189" s="35">
        <v>24882</v>
      </c>
      <c r="H189" s="35">
        <v>25882</v>
      </c>
      <c r="I189" s="35">
        <v>9785.24</v>
      </c>
      <c r="J189" s="90">
        <f t="shared" si="37"/>
        <v>0.37807124642608764</v>
      </c>
      <c r="K189" s="90">
        <f t="shared" si="33"/>
        <v>3.3949150358954145E-5</v>
      </c>
      <c r="L189" s="36">
        <f t="shared" ref="L189:L193" si="56">+I189-H189*50%</f>
        <v>-3155.76</v>
      </c>
    </row>
    <row r="190" spans="1:12" ht="30.75" customHeight="1" x14ac:dyDescent="0.25">
      <c r="A190" s="32"/>
      <c r="B190" s="37"/>
      <c r="C190" s="87" t="s">
        <v>331</v>
      </c>
      <c r="D190" s="88" t="s">
        <v>320</v>
      </c>
      <c r="E190" s="34"/>
      <c r="F190" s="89" t="s">
        <v>115</v>
      </c>
      <c r="G190" s="35">
        <v>123000</v>
      </c>
      <c r="H190" s="35">
        <v>0</v>
      </c>
      <c r="I190" s="35">
        <v>0</v>
      </c>
      <c r="J190" s="90">
        <v>0</v>
      </c>
      <c r="K190" s="90">
        <f t="shared" si="33"/>
        <v>0</v>
      </c>
      <c r="L190" s="36">
        <f t="shared" si="56"/>
        <v>0</v>
      </c>
    </row>
    <row r="191" spans="1:12" ht="25.5" x14ac:dyDescent="0.25">
      <c r="A191" s="32"/>
      <c r="B191" s="37"/>
      <c r="C191" s="39" t="s">
        <v>494</v>
      </c>
      <c r="D191" s="88" t="s">
        <v>320</v>
      </c>
      <c r="E191" s="34"/>
      <c r="F191" s="89" t="s">
        <v>116</v>
      </c>
      <c r="G191" s="35">
        <v>39100</v>
      </c>
      <c r="H191" s="35">
        <v>39100</v>
      </c>
      <c r="I191" s="35">
        <v>21597.13</v>
      </c>
      <c r="J191" s="90">
        <f>I191/H191</f>
        <v>0.5523562659846547</v>
      </c>
      <c r="K191" s="90">
        <f>I191/$I$9</f>
        <v>7.4929609666383188E-5</v>
      </c>
      <c r="L191" s="36">
        <f>+I191-H191*50%</f>
        <v>2047.130000000001</v>
      </c>
    </row>
    <row r="192" spans="1:12" ht="15" x14ac:dyDescent="0.25">
      <c r="A192" s="32"/>
      <c r="B192" s="37"/>
      <c r="C192" s="39" t="s">
        <v>494</v>
      </c>
      <c r="D192" s="88" t="s">
        <v>320</v>
      </c>
      <c r="E192" s="34"/>
      <c r="F192" s="89" t="s">
        <v>117</v>
      </c>
      <c r="G192" s="35">
        <v>6900</v>
      </c>
      <c r="H192" s="35">
        <v>6900</v>
      </c>
      <c r="I192" s="35">
        <v>3488.87</v>
      </c>
      <c r="J192" s="90">
        <f>I192/H192</f>
        <v>0.50563333333333327</v>
      </c>
      <c r="K192" s="90">
        <f>I192/$I$9</f>
        <v>1.2104370686139978E-5</v>
      </c>
      <c r="L192" s="36">
        <f>+I192-H192*50%</f>
        <v>38.869999999999891</v>
      </c>
    </row>
    <row r="193" spans="1:12" ht="25.5" x14ac:dyDescent="0.25">
      <c r="A193" s="32"/>
      <c r="B193" s="37"/>
      <c r="C193" s="39" t="s">
        <v>494</v>
      </c>
      <c r="D193" s="88" t="s">
        <v>320</v>
      </c>
      <c r="E193" s="34"/>
      <c r="F193" s="89" t="s">
        <v>119</v>
      </c>
      <c r="G193" s="35">
        <v>1588637</v>
      </c>
      <c r="H193" s="35">
        <v>1588637</v>
      </c>
      <c r="I193" s="35">
        <v>676095.28</v>
      </c>
      <c r="J193" s="90">
        <f t="shared" si="37"/>
        <v>0.42558198002438569</v>
      </c>
      <c r="K193" s="90">
        <f t="shared" si="33"/>
        <v>2.3456614572252908E-3</v>
      </c>
      <c r="L193" s="36">
        <f t="shared" si="56"/>
        <v>-118223.21999999997</v>
      </c>
    </row>
    <row r="194" spans="1:12" ht="15" x14ac:dyDescent="0.25">
      <c r="A194" s="32"/>
      <c r="B194" s="38"/>
      <c r="C194" s="39" t="s">
        <v>329</v>
      </c>
      <c r="D194" s="88" t="s">
        <v>320</v>
      </c>
      <c r="E194" s="34"/>
      <c r="F194" s="89" t="s">
        <v>120</v>
      </c>
      <c r="G194" s="35">
        <v>0</v>
      </c>
      <c r="H194" s="35">
        <v>7236</v>
      </c>
      <c r="I194" s="35">
        <v>7206</v>
      </c>
      <c r="J194" s="90">
        <f>I194/H194</f>
        <v>0.99585406301824209</v>
      </c>
      <c r="K194" s="90">
        <f>I194/$I$9</f>
        <v>2.5000672184496606E-5</v>
      </c>
      <c r="L194" s="36">
        <f>+I194-H194*50%</f>
        <v>3588</v>
      </c>
    </row>
    <row r="195" spans="1:12" s="1" customFormat="1" ht="19.5" customHeight="1" x14ac:dyDescent="0.25">
      <c r="A195" s="31"/>
      <c r="B195" s="81" t="s">
        <v>365</v>
      </c>
      <c r="C195" s="82"/>
      <c r="D195" s="82"/>
      <c r="E195" s="82"/>
      <c r="F195" s="83" t="s">
        <v>121</v>
      </c>
      <c r="G195" s="84">
        <f>+G196+G197+G198+G199</f>
        <v>1384252</v>
      </c>
      <c r="H195" s="84">
        <f t="shared" ref="H195:I195" si="57">+H196+H197+H198+H199</f>
        <v>1332368</v>
      </c>
      <c r="I195" s="84">
        <f t="shared" si="57"/>
        <v>515727.73000000004</v>
      </c>
      <c r="J195" s="85">
        <f t="shared" si="37"/>
        <v>0.38707604055336065</v>
      </c>
      <c r="K195" s="85">
        <f t="shared" si="33"/>
        <v>1.7892783672196193E-3</v>
      </c>
      <c r="L195" s="86">
        <f>+I195-H195*50%</f>
        <v>-150456.26999999996</v>
      </c>
    </row>
    <row r="196" spans="1:12" ht="15" x14ac:dyDescent="0.25">
      <c r="A196" s="32"/>
      <c r="B196" s="44"/>
      <c r="C196" s="39" t="s">
        <v>495</v>
      </c>
      <c r="D196" s="88" t="s">
        <v>320</v>
      </c>
      <c r="E196" s="34"/>
      <c r="F196" s="89" t="s">
        <v>122</v>
      </c>
      <c r="G196" s="35">
        <v>895384</v>
      </c>
      <c r="H196" s="35">
        <v>895384</v>
      </c>
      <c r="I196" s="35">
        <v>412523.27</v>
      </c>
      <c r="J196" s="90">
        <f t="shared" si="37"/>
        <v>0.46072218176782254</v>
      </c>
      <c r="K196" s="90">
        <f t="shared" si="33"/>
        <v>1.4312182961069364E-3</v>
      </c>
      <c r="L196" s="36">
        <f t="shared" ref="L196:L199" si="58">+I196-H196*50%</f>
        <v>-35168.729999999981</v>
      </c>
    </row>
    <row r="197" spans="1:12" ht="25.5" x14ac:dyDescent="0.25">
      <c r="A197" s="32"/>
      <c r="B197" s="37"/>
      <c r="C197" s="39" t="s">
        <v>495</v>
      </c>
      <c r="D197" s="88" t="s">
        <v>320</v>
      </c>
      <c r="E197" s="34"/>
      <c r="F197" s="89" t="s">
        <v>123</v>
      </c>
      <c r="G197" s="35">
        <v>17000</v>
      </c>
      <c r="H197" s="35">
        <v>17000</v>
      </c>
      <c r="I197" s="35">
        <v>0</v>
      </c>
      <c r="J197" s="90">
        <f t="shared" si="37"/>
        <v>0</v>
      </c>
      <c r="K197" s="90">
        <f t="shared" si="33"/>
        <v>0</v>
      </c>
      <c r="L197" s="36">
        <f t="shared" si="58"/>
        <v>-8500</v>
      </c>
    </row>
    <row r="198" spans="1:12" ht="15" x14ac:dyDescent="0.25">
      <c r="A198" s="32"/>
      <c r="B198" s="37"/>
      <c r="C198" s="39" t="s">
        <v>495</v>
      </c>
      <c r="D198" s="88" t="s">
        <v>320</v>
      </c>
      <c r="E198" s="34"/>
      <c r="F198" s="89" t="s">
        <v>124</v>
      </c>
      <c r="G198" s="35">
        <v>19000</v>
      </c>
      <c r="H198" s="35">
        <v>7500</v>
      </c>
      <c r="I198" s="35">
        <v>2293.64</v>
      </c>
      <c r="J198" s="90">
        <f t="shared" si="37"/>
        <v>0.30581866666666663</v>
      </c>
      <c r="K198" s="90">
        <f t="shared" si="33"/>
        <v>7.9576105674783226E-6</v>
      </c>
      <c r="L198" s="36">
        <f t="shared" si="58"/>
        <v>-1456.3600000000001</v>
      </c>
    </row>
    <row r="199" spans="1:12" ht="25.5" x14ac:dyDescent="0.25">
      <c r="A199" s="32"/>
      <c r="B199" s="38"/>
      <c r="C199" s="39" t="s">
        <v>495</v>
      </c>
      <c r="D199" s="88" t="s">
        <v>320</v>
      </c>
      <c r="E199" s="34"/>
      <c r="F199" s="89" t="s">
        <v>125</v>
      </c>
      <c r="G199" s="35">
        <v>452868</v>
      </c>
      <c r="H199" s="35">
        <v>412484</v>
      </c>
      <c r="I199" s="35">
        <v>100910.82</v>
      </c>
      <c r="J199" s="90">
        <f t="shared" si="37"/>
        <v>0.24464178004480175</v>
      </c>
      <c r="K199" s="90">
        <f t="shared" si="33"/>
        <v>3.501024605452046E-4</v>
      </c>
      <c r="L199" s="36">
        <f t="shared" si="58"/>
        <v>-105331.18</v>
      </c>
    </row>
    <row r="200" spans="1:12" s="1" customFormat="1" x14ac:dyDescent="0.25">
      <c r="A200" s="31"/>
      <c r="B200" s="81" t="s">
        <v>364</v>
      </c>
      <c r="C200" s="82"/>
      <c r="D200" s="82"/>
      <c r="E200" s="82"/>
      <c r="F200" s="83" t="s">
        <v>126</v>
      </c>
      <c r="G200" s="84">
        <f>SUM(G201:G225)</f>
        <v>70983672</v>
      </c>
      <c r="H200" s="84">
        <f>SUM(H201:H225)</f>
        <v>70207711</v>
      </c>
      <c r="I200" s="84">
        <f>+I201+I202+I203+I205+I206+I207+I209+I210+I211+I212+I213+I214+I215+I217+I216+I218+I219+I220+I223+I224+I225+I221+I222+I204+I208</f>
        <v>32064781.5</v>
      </c>
      <c r="J200" s="85">
        <f t="shared" si="37"/>
        <v>0.4567131023542414</v>
      </c>
      <c r="K200" s="85">
        <f t="shared" si="33"/>
        <v>0.11124633513030965</v>
      </c>
      <c r="L200" s="86">
        <f>+I200-H200*50%</f>
        <v>-3039074</v>
      </c>
    </row>
    <row r="201" spans="1:12" ht="25.5" x14ac:dyDescent="0.25">
      <c r="A201" s="32"/>
      <c r="B201" s="44"/>
      <c r="C201" s="39" t="s">
        <v>497</v>
      </c>
      <c r="D201" s="88" t="s">
        <v>320</v>
      </c>
      <c r="E201" s="34" t="s">
        <v>390</v>
      </c>
      <c r="F201" s="89" t="s">
        <v>452</v>
      </c>
      <c r="G201" s="35">
        <v>295679</v>
      </c>
      <c r="H201" s="35">
        <v>375679</v>
      </c>
      <c r="I201" s="35">
        <v>51459.58</v>
      </c>
      <c r="J201" s="90">
        <f t="shared" si="37"/>
        <v>0.13697752602620855</v>
      </c>
      <c r="K201" s="90">
        <f t="shared" si="33"/>
        <v>1.7853512216651097E-4</v>
      </c>
      <c r="L201" s="36">
        <f t="shared" ref="L201:L246" si="59">+I201-H201*50%</f>
        <v>-136379.91999999998</v>
      </c>
    </row>
    <row r="202" spans="1:12" ht="15" x14ac:dyDescent="0.25">
      <c r="A202" s="32"/>
      <c r="B202" s="37"/>
      <c r="C202" s="39" t="s">
        <v>497</v>
      </c>
      <c r="D202" s="88" t="s">
        <v>320</v>
      </c>
      <c r="E202" s="34"/>
      <c r="F202" s="89" t="s">
        <v>127</v>
      </c>
      <c r="G202" s="35">
        <v>60000</v>
      </c>
      <c r="H202" s="35">
        <v>60000</v>
      </c>
      <c r="I202" s="35">
        <v>9153.48</v>
      </c>
      <c r="J202" s="90">
        <f t="shared" si="37"/>
        <v>0.152558</v>
      </c>
      <c r="K202" s="90">
        <f t="shared" ref="K202:K266" si="60">I202/$I$9</f>
        <v>3.1757306803683873E-5</v>
      </c>
      <c r="L202" s="36">
        <f t="shared" si="59"/>
        <v>-20846.52</v>
      </c>
    </row>
    <row r="203" spans="1:12" ht="15" x14ac:dyDescent="0.25">
      <c r="A203" s="32"/>
      <c r="B203" s="37"/>
      <c r="C203" s="39" t="s">
        <v>496</v>
      </c>
      <c r="D203" s="88" t="s">
        <v>320</v>
      </c>
      <c r="E203" s="34"/>
      <c r="F203" s="89" t="s">
        <v>128</v>
      </c>
      <c r="G203" s="35">
        <v>4742250</v>
      </c>
      <c r="H203" s="35">
        <v>4603478</v>
      </c>
      <c r="I203" s="35">
        <v>1763168.63</v>
      </c>
      <c r="J203" s="90">
        <f>I203/H203</f>
        <v>0.38300794095247115</v>
      </c>
      <c r="K203" s="90">
        <f t="shared" si="60"/>
        <v>6.117180255983623E-3</v>
      </c>
      <c r="L203" s="36">
        <f t="shared" si="59"/>
        <v>-538570.37000000011</v>
      </c>
    </row>
    <row r="204" spans="1:12" ht="15" x14ac:dyDescent="0.25">
      <c r="A204" s="32"/>
      <c r="B204" s="37"/>
      <c r="C204" s="39" t="s">
        <v>505</v>
      </c>
      <c r="D204" s="88" t="s">
        <v>320</v>
      </c>
      <c r="E204" s="34"/>
      <c r="F204" s="89" t="s">
        <v>128</v>
      </c>
      <c r="G204" s="35">
        <v>0</v>
      </c>
      <c r="H204" s="35">
        <v>10000</v>
      </c>
      <c r="I204" s="35">
        <v>9088.7900000000009</v>
      </c>
      <c r="J204" s="90">
        <f>I204/H204</f>
        <v>0.9088790000000001</v>
      </c>
      <c r="K204" s="90">
        <f t="shared" si="60"/>
        <v>3.1532869739624053E-5</v>
      </c>
      <c r="L204" s="36">
        <f t="shared" si="59"/>
        <v>4088.7900000000009</v>
      </c>
    </row>
    <row r="205" spans="1:12" ht="15" x14ac:dyDescent="0.25">
      <c r="A205" s="32"/>
      <c r="B205" s="37"/>
      <c r="C205" s="39" t="s">
        <v>496</v>
      </c>
      <c r="D205" s="88" t="s">
        <v>320</v>
      </c>
      <c r="E205" s="34"/>
      <c r="F205" s="89" t="s">
        <v>129</v>
      </c>
      <c r="G205" s="35">
        <v>7871300</v>
      </c>
      <c r="H205" s="35">
        <v>7507727</v>
      </c>
      <c r="I205" s="35">
        <v>3256501.29</v>
      </c>
      <c r="J205" s="90">
        <f t="shared" si="37"/>
        <v>0.4337532904432993</v>
      </c>
      <c r="K205" s="90">
        <f t="shared" si="60"/>
        <v>1.1298185015220693E-2</v>
      </c>
      <c r="L205" s="36">
        <f t="shared" si="59"/>
        <v>-497362.20999999996</v>
      </c>
    </row>
    <row r="206" spans="1:12" ht="25.5" x14ac:dyDescent="0.25">
      <c r="A206" s="32"/>
      <c r="B206" s="37"/>
      <c r="C206" s="39" t="s">
        <v>496</v>
      </c>
      <c r="D206" s="88" t="s">
        <v>323</v>
      </c>
      <c r="E206" s="34" t="s">
        <v>390</v>
      </c>
      <c r="F206" s="89" t="s">
        <v>453</v>
      </c>
      <c r="G206" s="35">
        <v>283040</v>
      </c>
      <c r="H206" s="35">
        <v>295200</v>
      </c>
      <c r="I206" s="35">
        <v>265680</v>
      </c>
      <c r="J206" s="90">
        <f t="shared" si="37"/>
        <v>0.9</v>
      </c>
      <c r="K206" s="90">
        <f t="shared" si="60"/>
        <v>9.2175667304705226E-4</v>
      </c>
      <c r="L206" s="36">
        <f t="shared" si="59"/>
        <v>118080</v>
      </c>
    </row>
    <row r="207" spans="1:12" ht="15" x14ac:dyDescent="0.25">
      <c r="A207" s="32"/>
      <c r="B207" s="37"/>
      <c r="C207" s="39" t="s">
        <v>496</v>
      </c>
      <c r="D207" s="88" t="s">
        <v>323</v>
      </c>
      <c r="E207" s="34"/>
      <c r="F207" s="89" t="s">
        <v>103</v>
      </c>
      <c r="G207" s="35">
        <v>648000</v>
      </c>
      <c r="H207" s="35">
        <v>448569</v>
      </c>
      <c r="I207" s="35">
        <v>0</v>
      </c>
      <c r="J207" s="90">
        <f t="shared" si="37"/>
        <v>0</v>
      </c>
      <c r="K207" s="90">
        <f t="shared" si="60"/>
        <v>0</v>
      </c>
      <c r="L207" s="36">
        <f t="shared" si="59"/>
        <v>-224284.5</v>
      </c>
    </row>
    <row r="208" spans="1:12" ht="25.5" x14ac:dyDescent="0.25">
      <c r="A208" s="32"/>
      <c r="B208" s="37"/>
      <c r="C208" s="39" t="s">
        <v>496</v>
      </c>
      <c r="D208" s="88" t="s">
        <v>323</v>
      </c>
      <c r="E208" s="34"/>
      <c r="F208" s="89" t="s">
        <v>523</v>
      </c>
      <c r="G208" s="35">
        <v>0</v>
      </c>
      <c r="H208" s="35">
        <v>20271</v>
      </c>
      <c r="I208" s="35">
        <v>0</v>
      </c>
      <c r="J208" s="90">
        <f t="shared" si="37"/>
        <v>0</v>
      </c>
      <c r="K208" s="90">
        <f t="shared" si="60"/>
        <v>0</v>
      </c>
      <c r="L208" s="36">
        <f t="shared" si="59"/>
        <v>-10135.5</v>
      </c>
    </row>
    <row r="209" spans="1:12" ht="38.25" x14ac:dyDescent="0.25">
      <c r="A209" s="32"/>
      <c r="B209" s="37"/>
      <c r="C209" s="39" t="s">
        <v>494</v>
      </c>
      <c r="D209" s="88" t="s">
        <v>320</v>
      </c>
      <c r="E209" s="34" t="s">
        <v>390</v>
      </c>
      <c r="F209" s="89" t="s">
        <v>454</v>
      </c>
      <c r="G209" s="35">
        <v>613042</v>
      </c>
      <c r="H209" s="35">
        <v>859155</v>
      </c>
      <c r="I209" s="35">
        <v>264440.53999999998</v>
      </c>
      <c r="J209" s="90">
        <f t="shared" ref="J209:J273" si="61">I209/H209</f>
        <v>0.30779142296791612</v>
      </c>
      <c r="K209" s="90">
        <f t="shared" si="60"/>
        <v>9.1745646028743575E-4</v>
      </c>
      <c r="L209" s="36">
        <f t="shared" si="59"/>
        <v>-165136.96000000002</v>
      </c>
    </row>
    <row r="210" spans="1:12" ht="25.5" x14ac:dyDescent="0.25">
      <c r="A210" s="32"/>
      <c r="B210" s="37"/>
      <c r="C210" s="39" t="s">
        <v>494</v>
      </c>
      <c r="D210" s="88" t="s">
        <v>320</v>
      </c>
      <c r="E210" s="34"/>
      <c r="F210" s="89" t="s">
        <v>116</v>
      </c>
      <c r="G210" s="35">
        <v>39586031</v>
      </c>
      <c r="H210" s="35">
        <v>36565799</v>
      </c>
      <c r="I210" s="35">
        <v>17807001.629999999</v>
      </c>
      <c r="J210" s="90">
        <f t="shared" si="61"/>
        <v>0.48698516419674021</v>
      </c>
      <c r="K210" s="90">
        <f t="shared" si="60"/>
        <v>6.1780045842412812E-2</v>
      </c>
      <c r="L210" s="36">
        <f t="shared" si="59"/>
        <v>-475897.87000000104</v>
      </c>
    </row>
    <row r="211" spans="1:12" ht="15" x14ac:dyDescent="0.25">
      <c r="A211" s="32"/>
      <c r="B211" s="37"/>
      <c r="C211" s="39" t="s">
        <v>494</v>
      </c>
      <c r="D211" s="88" t="s">
        <v>320</v>
      </c>
      <c r="E211" s="34"/>
      <c r="F211" s="89" t="s">
        <v>117</v>
      </c>
      <c r="G211" s="35">
        <v>7039046</v>
      </c>
      <c r="H211" s="35">
        <v>6627100</v>
      </c>
      <c r="I211" s="35">
        <v>2836118.46</v>
      </c>
      <c r="J211" s="90">
        <f t="shared" si="61"/>
        <v>0.42795769793725763</v>
      </c>
      <c r="K211" s="90">
        <f t="shared" si="60"/>
        <v>9.8396985699221971E-3</v>
      </c>
      <c r="L211" s="36">
        <f t="shared" si="59"/>
        <v>-477431.54000000004</v>
      </c>
    </row>
    <row r="212" spans="1:12" ht="15" x14ac:dyDescent="0.25">
      <c r="A212" s="32"/>
      <c r="B212" s="37"/>
      <c r="C212" s="39" t="s">
        <v>494</v>
      </c>
      <c r="D212" s="88" t="s">
        <v>320</v>
      </c>
      <c r="E212" s="34"/>
      <c r="F212" s="89" t="s">
        <v>118</v>
      </c>
      <c r="G212" s="35">
        <v>877502</v>
      </c>
      <c r="H212" s="35">
        <v>877502</v>
      </c>
      <c r="I212" s="35">
        <v>657875.03</v>
      </c>
      <c r="J212" s="90">
        <f t="shared" si="61"/>
        <v>0.74971342515458661</v>
      </c>
      <c r="K212" s="90">
        <f t="shared" si="60"/>
        <v>2.2824476774071429E-3</v>
      </c>
      <c r="L212" s="36">
        <f t="shared" si="59"/>
        <v>219124.03000000003</v>
      </c>
    </row>
    <row r="213" spans="1:12" ht="15.75" customHeight="1" x14ac:dyDescent="0.25">
      <c r="A213" s="32"/>
      <c r="B213" s="37"/>
      <c r="C213" s="39" t="s">
        <v>494</v>
      </c>
      <c r="D213" s="88" t="s">
        <v>320</v>
      </c>
      <c r="E213" s="34"/>
      <c r="F213" s="89" t="s">
        <v>130</v>
      </c>
      <c r="G213" s="35">
        <v>443000</v>
      </c>
      <c r="H213" s="35">
        <v>443000</v>
      </c>
      <c r="I213" s="35">
        <v>167728.76999999999</v>
      </c>
      <c r="J213" s="90">
        <f t="shared" si="61"/>
        <v>0.3786202483069977</v>
      </c>
      <c r="K213" s="90">
        <f t="shared" si="60"/>
        <v>5.8192228624463348E-4</v>
      </c>
      <c r="L213" s="36">
        <f t="shared" si="59"/>
        <v>-53771.23000000001</v>
      </c>
    </row>
    <row r="214" spans="1:12" ht="15" x14ac:dyDescent="0.25">
      <c r="A214" s="32"/>
      <c r="B214" s="37"/>
      <c r="C214" s="39" t="s">
        <v>494</v>
      </c>
      <c r="D214" s="88" t="s">
        <v>320</v>
      </c>
      <c r="E214" s="34"/>
      <c r="F214" s="89" t="s">
        <v>131</v>
      </c>
      <c r="G214" s="35">
        <v>624000</v>
      </c>
      <c r="H214" s="35">
        <v>624000</v>
      </c>
      <c r="I214" s="35">
        <v>255457</v>
      </c>
      <c r="J214" s="90">
        <f t="shared" si="61"/>
        <v>0.40938621794871793</v>
      </c>
      <c r="K214" s="90">
        <f t="shared" si="60"/>
        <v>8.8628874746529977E-4</v>
      </c>
      <c r="L214" s="36">
        <f t="shared" si="59"/>
        <v>-56543</v>
      </c>
    </row>
    <row r="215" spans="1:12" ht="15" x14ac:dyDescent="0.25">
      <c r="A215" s="32"/>
      <c r="B215" s="37"/>
      <c r="C215" s="39" t="s">
        <v>494</v>
      </c>
      <c r="D215" s="88" t="s">
        <v>320</v>
      </c>
      <c r="E215" s="34"/>
      <c r="F215" s="89" t="s">
        <v>132</v>
      </c>
      <c r="G215" s="35">
        <v>12000</v>
      </c>
      <c r="H215" s="35">
        <v>12000</v>
      </c>
      <c r="I215" s="35">
        <v>200</v>
      </c>
      <c r="J215" s="90">
        <f t="shared" si="61"/>
        <v>1.6666666666666666E-2</v>
      </c>
      <c r="K215" s="90">
        <f t="shared" si="60"/>
        <v>6.9388487883698611E-7</v>
      </c>
      <c r="L215" s="36">
        <f t="shared" si="59"/>
        <v>-5800</v>
      </c>
    </row>
    <row r="216" spans="1:12" ht="15" x14ac:dyDescent="0.25">
      <c r="A216" s="32"/>
      <c r="B216" s="37"/>
      <c r="C216" s="39" t="s">
        <v>498</v>
      </c>
      <c r="D216" s="88" t="s">
        <v>320</v>
      </c>
      <c r="E216" s="34"/>
      <c r="F216" s="89" t="s">
        <v>132</v>
      </c>
      <c r="G216" s="35">
        <v>0</v>
      </c>
      <c r="H216" s="35">
        <v>34572</v>
      </c>
      <c r="I216" s="35">
        <v>34572.019999999997</v>
      </c>
      <c r="J216" s="90">
        <f>I216/H216</f>
        <v>1.0000005785028345</v>
      </c>
      <c r="K216" s="90">
        <f>I216/$I$9</f>
        <v>1.1994500954424928E-4</v>
      </c>
      <c r="L216" s="36">
        <f t="shared" si="59"/>
        <v>17286.019999999997</v>
      </c>
    </row>
    <row r="217" spans="1:12" ht="25.5" x14ac:dyDescent="0.25">
      <c r="A217" s="32"/>
      <c r="B217" s="37"/>
      <c r="C217" s="39" t="s">
        <v>498</v>
      </c>
      <c r="D217" s="88" t="s">
        <v>320</v>
      </c>
      <c r="E217" s="34"/>
      <c r="F217" s="89" t="s">
        <v>133</v>
      </c>
      <c r="G217" s="35">
        <v>580700</v>
      </c>
      <c r="H217" s="35">
        <v>551665</v>
      </c>
      <c r="I217" s="35">
        <v>191188.35</v>
      </c>
      <c r="J217" s="90">
        <f t="shared" si="61"/>
        <v>0.34656603192154661</v>
      </c>
      <c r="K217" s="90">
        <f t="shared" si="60"/>
        <v>6.6331352537396646E-4</v>
      </c>
      <c r="L217" s="36">
        <f t="shared" si="59"/>
        <v>-84644.15</v>
      </c>
    </row>
    <row r="218" spans="1:12" ht="25.5" x14ac:dyDescent="0.25">
      <c r="A218" s="32"/>
      <c r="B218" s="37"/>
      <c r="C218" s="39" t="s">
        <v>498</v>
      </c>
      <c r="D218" s="88" t="s">
        <v>323</v>
      </c>
      <c r="E218" s="34"/>
      <c r="F218" s="89" t="s">
        <v>134</v>
      </c>
      <c r="G218" s="35">
        <v>949000</v>
      </c>
      <c r="H218" s="35">
        <v>966650</v>
      </c>
      <c r="I218" s="35">
        <v>151059.4</v>
      </c>
      <c r="J218" s="90">
        <f t="shared" si="61"/>
        <v>0.1562710391558475</v>
      </c>
      <c r="K218" s="90">
        <f t="shared" si="60"/>
        <v>5.2408916733093908E-4</v>
      </c>
      <c r="L218" s="36">
        <f t="shared" si="59"/>
        <v>-332265.59999999998</v>
      </c>
    </row>
    <row r="219" spans="1:12" ht="15" x14ac:dyDescent="0.25">
      <c r="A219" s="32"/>
      <c r="B219" s="37"/>
      <c r="C219" s="39" t="s">
        <v>328</v>
      </c>
      <c r="D219" s="88" t="s">
        <v>320</v>
      </c>
      <c r="E219" s="34" t="s">
        <v>390</v>
      </c>
      <c r="F219" s="89" t="s">
        <v>455</v>
      </c>
      <c r="G219" s="35">
        <v>1933765</v>
      </c>
      <c r="H219" s="35">
        <v>1933765</v>
      </c>
      <c r="I219" s="35">
        <v>415815.67</v>
      </c>
      <c r="J219" s="90">
        <f t="shared" si="61"/>
        <v>0.21502905989093812</v>
      </c>
      <c r="K219" s="90">
        <f t="shared" si="60"/>
        <v>1.4426410289823507E-3</v>
      </c>
      <c r="L219" s="36">
        <f t="shared" si="59"/>
        <v>-551066.83000000007</v>
      </c>
    </row>
    <row r="220" spans="1:12" ht="26.25" customHeight="1" x14ac:dyDescent="0.25">
      <c r="A220" s="32"/>
      <c r="B220" s="37"/>
      <c r="C220" s="39" t="s">
        <v>328</v>
      </c>
      <c r="D220" s="88" t="s">
        <v>320</v>
      </c>
      <c r="E220" s="34"/>
      <c r="F220" s="89" t="s">
        <v>135</v>
      </c>
      <c r="G220" s="35">
        <v>6000</v>
      </c>
      <c r="H220" s="35">
        <v>6000</v>
      </c>
      <c r="I220" s="35">
        <v>100</v>
      </c>
      <c r="J220" s="90">
        <f t="shared" si="61"/>
        <v>1.6666666666666666E-2</v>
      </c>
      <c r="K220" s="90">
        <f t="shared" si="60"/>
        <v>3.4694243941849305E-7</v>
      </c>
      <c r="L220" s="36">
        <f t="shared" si="59"/>
        <v>-2900</v>
      </c>
    </row>
    <row r="221" spans="1:12" ht="26.25" customHeight="1" x14ac:dyDescent="0.25">
      <c r="A221" s="32"/>
      <c r="B221" s="37"/>
      <c r="C221" s="39" t="s">
        <v>326</v>
      </c>
      <c r="D221" s="88" t="s">
        <v>320</v>
      </c>
      <c r="E221" s="34"/>
      <c r="F221" s="89" t="s">
        <v>135</v>
      </c>
      <c r="G221" s="35">
        <v>5000</v>
      </c>
      <c r="H221" s="35">
        <v>5000</v>
      </c>
      <c r="I221" s="35">
        <v>1134</v>
      </c>
      <c r="J221" s="90">
        <f>I221/H221</f>
        <v>0.2268</v>
      </c>
      <c r="K221" s="90">
        <f>I221/$I$9</f>
        <v>3.9343272630057108E-6</v>
      </c>
      <c r="L221" s="36">
        <f t="shared" si="59"/>
        <v>-1366</v>
      </c>
    </row>
    <row r="222" spans="1:12" ht="25.5" customHeight="1" x14ac:dyDescent="0.25">
      <c r="A222" s="32"/>
      <c r="B222" s="37"/>
      <c r="C222" s="39" t="s">
        <v>326</v>
      </c>
      <c r="D222" s="88" t="s">
        <v>323</v>
      </c>
      <c r="E222" s="34" t="s">
        <v>390</v>
      </c>
      <c r="F222" s="89" t="s">
        <v>456</v>
      </c>
      <c r="G222" s="35">
        <v>100000</v>
      </c>
      <c r="H222" s="35">
        <v>100000</v>
      </c>
      <c r="I222" s="35">
        <v>460</v>
      </c>
      <c r="J222" s="90">
        <f>I222/H222</f>
        <v>4.5999999999999999E-3</v>
      </c>
      <c r="K222" s="90">
        <f>I222/$I$9</f>
        <v>1.595935221325068E-6</v>
      </c>
      <c r="L222" s="36">
        <f t="shared" si="59"/>
        <v>-49540</v>
      </c>
    </row>
    <row r="223" spans="1:12" ht="24.75" customHeight="1" x14ac:dyDescent="0.25">
      <c r="A223" s="32"/>
      <c r="B223" s="37"/>
      <c r="C223" s="39" t="s">
        <v>328</v>
      </c>
      <c r="D223" s="88" t="s">
        <v>323</v>
      </c>
      <c r="E223" s="34" t="s">
        <v>390</v>
      </c>
      <c r="F223" s="89" t="s">
        <v>456</v>
      </c>
      <c r="G223" s="35">
        <v>20400</v>
      </c>
      <c r="H223" s="35">
        <v>20400</v>
      </c>
      <c r="I223" s="35">
        <v>0</v>
      </c>
      <c r="J223" s="90">
        <f t="shared" si="61"/>
        <v>0</v>
      </c>
      <c r="K223" s="90">
        <f t="shared" si="60"/>
        <v>0</v>
      </c>
      <c r="L223" s="36">
        <f t="shared" si="59"/>
        <v>-10200</v>
      </c>
    </row>
    <row r="224" spans="1:12" ht="15" x14ac:dyDescent="0.25">
      <c r="A224" s="32"/>
      <c r="B224" s="37"/>
      <c r="C224" s="39" t="s">
        <v>326</v>
      </c>
      <c r="D224" s="88" t="s">
        <v>320</v>
      </c>
      <c r="E224" s="34" t="s">
        <v>390</v>
      </c>
      <c r="F224" s="89" t="s">
        <v>455</v>
      </c>
      <c r="G224" s="35">
        <v>3263000</v>
      </c>
      <c r="H224" s="35">
        <v>6229262</v>
      </c>
      <c r="I224" s="35">
        <v>3692277.15</v>
      </c>
      <c r="J224" s="90">
        <f t="shared" si="61"/>
        <v>0.59273107311909501</v>
      </c>
      <c r="K224" s="90">
        <f t="shared" si="60"/>
        <v>1.281007641430161E-2</v>
      </c>
      <c r="L224" s="36">
        <f t="shared" si="59"/>
        <v>577646.14999999991</v>
      </c>
    </row>
    <row r="225" spans="1:12" ht="27" customHeight="1" x14ac:dyDescent="0.25">
      <c r="A225" s="32"/>
      <c r="B225" s="37"/>
      <c r="C225" s="39" t="s">
        <v>326</v>
      </c>
      <c r="D225" s="88" t="s">
        <v>320</v>
      </c>
      <c r="E225" s="34" t="s">
        <v>390</v>
      </c>
      <c r="F225" s="89" t="s">
        <v>457</v>
      </c>
      <c r="G225" s="35">
        <v>1030917</v>
      </c>
      <c r="H225" s="35">
        <v>1030917</v>
      </c>
      <c r="I225" s="35">
        <v>234301.71</v>
      </c>
      <c r="J225" s="90">
        <f t="shared" si="61"/>
        <v>0.22727504736074775</v>
      </c>
      <c r="K225" s="90">
        <f t="shared" si="60"/>
        <v>8.1289206827324324E-4</v>
      </c>
      <c r="L225" s="36">
        <f t="shared" si="59"/>
        <v>-281156.79000000004</v>
      </c>
    </row>
    <row r="226" spans="1:12" s="1" customFormat="1" ht="27.75" customHeight="1" x14ac:dyDescent="0.25">
      <c r="A226" s="31"/>
      <c r="B226" s="81" t="s">
        <v>363</v>
      </c>
      <c r="C226" s="82"/>
      <c r="D226" s="82"/>
      <c r="E226" s="82"/>
      <c r="F226" s="83" t="s">
        <v>136</v>
      </c>
      <c r="G226" s="84">
        <f>+G227</f>
        <v>1001254</v>
      </c>
      <c r="H226" s="84">
        <f t="shared" ref="H226:I226" si="62">+H227</f>
        <v>1001254</v>
      </c>
      <c r="I226" s="84">
        <f t="shared" si="62"/>
        <v>493396.51</v>
      </c>
      <c r="J226" s="85">
        <f t="shared" si="61"/>
        <v>0.49277856567863898</v>
      </c>
      <c r="K226" s="85">
        <f t="shared" si="60"/>
        <v>1.711801887799709E-3</v>
      </c>
      <c r="L226" s="86">
        <f>+I226-H226*50%</f>
        <v>-7230.4899999999907</v>
      </c>
    </row>
    <row r="227" spans="1:12" ht="32.25" customHeight="1" x14ac:dyDescent="0.25">
      <c r="A227" s="32"/>
      <c r="B227" s="33"/>
      <c r="C227" s="39" t="s">
        <v>353</v>
      </c>
      <c r="D227" s="88" t="s">
        <v>320</v>
      </c>
      <c r="E227" s="34"/>
      <c r="F227" s="89" t="s">
        <v>137</v>
      </c>
      <c r="G227" s="35">
        <v>1001254</v>
      </c>
      <c r="H227" s="35">
        <v>1001254</v>
      </c>
      <c r="I227" s="35">
        <v>493396.51</v>
      </c>
      <c r="J227" s="90">
        <f t="shared" si="61"/>
        <v>0.49277856567863898</v>
      </c>
      <c r="K227" s="90">
        <f t="shared" si="60"/>
        <v>1.711801887799709E-3</v>
      </c>
      <c r="L227" s="36">
        <f t="shared" si="59"/>
        <v>-7230.4899999999907</v>
      </c>
    </row>
    <row r="228" spans="1:12" s="1" customFormat="1" x14ac:dyDescent="0.25">
      <c r="A228" s="31"/>
      <c r="B228" s="81">
        <v>75071</v>
      </c>
      <c r="C228" s="82"/>
      <c r="D228" s="82"/>
      <c r="E228" s="82"/>
      <c r="F228" s="83" t="s">
        <v>138</v>
      </c>
      <c r="G228" s="84">
        <f>+G229</f>
        <v>477640</v>
      </c>
      <c r="H228" s="84">
        <f t="shared" ref="H228:I228" si="63">+H229</f>
        <v>477640</v>
      </c>
      <c r="I228" s="84">
        <f t="shared" si="63"/>
        <v>178935.81</v>
      </c>
      <c r="J228" s="85">
        <f t="shared" si="61"/>
        <v>0.37462484297797505</v>
      </c>
      <c r="K228" s="85">
        <f t="shared" si="60"/>
        <v>6.2080426420723983E-4</v>
      </c>
      <c r="L228" s="86">
        <f>+I228-H228*50%</f>
        <v>-59884.19</v>
      </c>
    </row>
    <row r="229" spans="1:12" ht="27.75" customHeight="1" x14ac:dyDescent="0.25">
      <c r="A229" s="32"/>
      <c r="B229" s="33"/>
      <c r="C229" s="39" t="s">
        <v>504</v>
      </c>
      <c r="D229" s="88" t="s">
        <v>320</v>
      </c>
      <c r="E229" s="34" t="s">
        <v>390</v>
      </c>
      <c r="F229" s="89" t="s">
        <v>458</v>
      </c>
      <c r="G229" s="35">
        <v>477640</v>
      </c>
      <c r="H229" s="35">
        <v>477640</v>
      </c>
      <c r="I229" s="35">
        <v>178935.81</v>
      </c>
      <c r="J229" s="90">
        <f t="shared" si="61"/>
        <v>0.37462484297797505</v>
      </c>
      <c r="K229" s="90">
        <f t="shared" si="60"/>
        <v>6.2080426420723983E-4</v>
      </c>
      <c r="L229" s="36">
        <f t="shared" si="59"/>
        <v>-59884.19</v>
      </c>
    </row>
    <row r="230" spans="1:12" s="1" customFormat="1" ht="17.25" customHeight="1" x14ac:dyDescent="0.25">
      <c r="A230" s="31"/>
      <c r="B230" s="81">
        <v>75075</v>
      </c>
      <c r="C230" s="82"/>
      <c r="D230" s="82"/>
      <c r="E230" s="82"/>
      <c r="F230" s="83" t="s">
        <v>139</v>
      </c>
      <c r="G230" s="84">
        <f>+G231+G232+G233</f>
        <v>1836650</v>
      </c>
      <c r="H230" s="84">
        <f t="shared" ref="H230:I230" si="64">+H231+H232+H233</f>
        <v>1902614</v>
      </c>
      <c r="I230" s="84">
        <f t="shared" si="64"/>
        <v>372978.41000000003</v>
      </c>
      <c r="J230" s="85">
        <f t="shared" si="61"/>
        <v>0.19603472380630019</v>
      </c>
      <c r="K230" s="85">
        <f t="shared" si="60"/>
        <v>1.2940203941583087E-3</v>
      </c>
      <c r="L230" s="86">
        <f>+I230-H230*50%</f>
        <v>-578328.59</v>
      </c>
    </row>
    <row r="231" spans="1:12" ht="23.25" customHeight="1" x14ac:dyDescent="0.25">
      <c r="A231" s="32"/>
      <c r="B231" s="44"/>
      <c r="C231" s="39" t="s">
        <v>324</v>
      </c>
      <c r="D231" s="88" t="s">
        <v>320</v>
      </c>
      <c r="E231" s="34"/>
      <c r="F231" s="89" t="s">
        <v>140</v>
      </c>
      <c r="G231" s="35">
        <v>296650</v>
      </c>
      <c r="H231" s="35">
        <v>276650</v>
      </c>
      <c r="I231" s="35">
        <v>86343.21</v>
      </c>
      <c r="J231" s="90">
        <f t="shared" si="61"/>
        <v>0.31210269293330928</v>
      </c>
      <c r="K231" s="90">
        <f t="shared" si="60"/>
        <v>2.9956123904623225E-4</v>
      </c>
      <c r="L231" s="36">
        <f t="shared" si="59"/>
        <v>-51981.789999999994</v>
      </c>
    </row>
    <row r="232" spans="1:12" ht="15.75" customHeight="1" x14ac:dyDescent="0.25">
      <c r="A232" s="32"/>
      <c r="B232" s="37"/>
      <c r="C232" s="39" t="s">
        <v>329</v>
      </c>
      <c r="D232" s="88" t="s">
        <v>320</v>
      </c>
      <c r="E232" s="34"/>
      <c r="F232" s="89" t="s">
        <v>141</v>
      </c>
      <c r="G232" s="35">
        <v>1500000</v>
      </c>
      <c r="H232" s="35">
        <v>1614964</v>
      </c>
      <c r="I232" s="35">
        <v>286635.2</v>
      </c>
      <c r="J232" s="90">
        <f t="shared" si="61"/>
        <v>0.17748705234296244</v>
      </c>
      <c r="K232" s="90">
        <f t="shared" si="60"/>
        <v>9.9445915511207645E-4</v>
      </c>
      <c r="L232" s="36">
        <f t="shared" si="59"/>
        <v>-520846.8</v>
      </c>
    </row>
    <row r="233" spans="1:12" ht="15" x14ac:dyDescent="0.25">
      <c r="A233" s="32"/>
      <c r="B233" s="38"/>
      <c r="C233" s="39" t="s">
        <v>329</v>
      </c>
      <c r="D233" s="88" t="s">
        <v>320</v>
      </c>
      <c r="E233" s="34"/>
      <c r="F233" s="89" t="s">
        <v>142</v>
      </c>
      <c r="G233" s="35">
        <v>40000</v>
      </c>
      <c r="H233" s="35">
        <v>11000</v>
      </c>
      <c r="I233" s="35">
        <v>0</v>
      </c>
      <c r="J233" s="90">
        <f t="shared" si="61"/>
        <v>0</v>
      </c>
      <c r="K233" s="90">
        <f t="shared" si="60"/>
        <v>0</v>
      </c>
      <c r="L233" s="36">
        <f t="shared" si="59"/>
        <v>-5500</v>
      </c>
    </row>
    <row r="234" spans="1:12" s="1" customFormat="1" x14ac:dyDescent="0.25">
      <c r="A234" s="31"/>
      <c r="B234" s="81">
        <v>75095</v>
      </c>
      <c r="C234" s="82"/>
      <c r="D234" s="82"/>
      <c r="E234" s="82"/>
      <c r="F234" s="83" t="s">
        <v>18</v>
      </c>
      <c r="G234" s="84">
        <f>+G235+G236+G237+G238+G239+G240+G242+G243+G244+G245+G246+G241</f>
        <v>2262228</v>
      </c>
      <c r="H234" s="84">
        <f>+H235+H236+H237+H238+H239+H240+H242+H243+H244+H245+H246+H241</f>
        <v>2194456</v>
      </c>
      <c r="I234" s="84">
        <f>+I235+I236+I237+I238+I239+I240+I242+I243+I244+I245+I246+I241</f>
        <v>789845.45000000007</v>
      </c>
      <c r="J234" s="85">
        <f t="shared" si="61"/>
        <v>0.3599276768365372</v>
      </c>
      <c r="K234" s="85">
        <f t="shared" si="60"/>
        <v>2.7403090718659739E-3</v>
      </c>
      <c r="L234" s="86">
        <f>+I234-H234*50%</f>
        <v>-307382.54999999993</v>
      </c>
    </row>
    <row r="235" spans="1:12" ht="15" x14ac:dyDescent="0.25">
      <c r="A235" s="32"/>
      <c r="B235" s="37"/>
      <c r="C235" s="39" t="s">
        <v>497</v>
      </c>
      <c r="D235" s="88" t="s">
        <v>320</v>
      </c>
      <c r="E235" s="34"/>
      <c r="F235" s="89" t="s">
        <v>143</v>
      </c>
      <c r="G235" s="35">
        <v>356228</v>
      </c>
      <c r="H235" s="35">
        <v>331228</v>
      </c>
      <c r="I235" s="35">
        <v>87413.03</v>
      </c>
      <c r="J235" s="90">
        <f t="shared" si="61"/>
        <v>0.26390591978938976</v>
      </c>
      <c r="K235" s="90">
        <f t="shared" si="60"/>
        <v>3.0327289865161915E-4</v>
      </c>
      <c r="L235" s="36">
        <f t="shared" si="59"/>
        <v>-78200.97</v>
      </c>
    </row>
    <row r="236" spans="1:12" ht="15" x14ac:dyDescent="0.25">
      <c r="A236" s="32"/>
      <c r="B236" s="37"/>
      <c r="C236" s="39" t="s">
        <v>497</v>
      </c>
      <c r="D236" s="88" t="s">
        <v>320</v>
      </c>
      <c r="E236" s="34"/>
      <c r="F236" s="89" t="s">
        <v>144</v>
      </c>
      <c r="G236" s="35">
        <v>41000</v>
      </c>
      <c r="H236" s="35">
        <v>46000</v>
      </c>
      <c r="I236" s="35">
        <v>22116.58</v>
      </c>
      <c r="J236" s="90">
        <f t="shared" si="61"/>
        <v>0.48079521739130437</v>
      </c>
      <c r="K236" s="90">
        <f t="shared" si="60"/>
        <v>7.6731802167942552E-5</v>
      </c>
      <c r="L236" s="36">
        <f t="shared" si="59"/>
        <v>-883.41999999999825</v>
      </c>
    </row>
    <row r="237" spans="1:12" ht="15" x14ac:dyDescent="0.25">
      <c r="A237" s="32"/>
      <c r="B237" s="37"/>
      <c r="C237" s="39" t="s">
        <v>497</v>
      </c>
      <c r="D237" s="88" t="s">
        <v>320</v>
      </c>
      <c r="E237" s="34"/>
      <c r="F237" s="89" t="s">
        <v>145</v>
      </c>
      <c r="G237" s="35">
        <v>88200</v>
      </c>
      <c r="H237" s="35">
        <v>88200</v>
      </c>
      <c r="I237" s="35">
        <v>37490.42</v>
      </c>
      <c r="J237" s="90">
        <f t="shared" si="61"/>
        <v>0.42506145124716549</v>
      </c>
      <c r="K237" s="90">
        <f t="shared" si="60"/>
        <v>1.3007017769623859E-4</v>
      </c>
      <c r="L237" s="36">
        <f t="shared" si="59"/>
        <v>-6609.5800000000017</v>
      </c>
    </row>
    <row r="238" spans="1:12" ht="25.5" customHeight="1" x14ac:dyDescent="0.25">
      <c r="A238" s="32"/>
      <c r="B238" s="37"/>
      <c r="C238" s="39" t="s">
        <v>497</v>
      </c>
      <c r="D238" s="88" t="s">
        <v>320</v>
      </c>
      <c r="E238" s="34"/>
      <c r="F238" s="89" t="s">
        <v>146</v>
      </c>
      <c r="G238" s="35">
        <v>365000</v>
      </c>
      <c r="H238" s="35">
        <v>365000</v>
      </c>
      <c r="I238" s="35">
        <v>66063.72</v>
      </c>
      <c r="J238" s="90">
        <f t="shared" si="61"/>
        <v>0.18099649315068495</v>
      </c>
      <c r="K238" s="90">
        <f t="shared" si="60"/>
        <v>2.2920308173860287E-4</v>
      </c>
      <c r="L238" s="36">
        <f t="shared" si="59"/>
        <v>-116436.28</v>
      </c>
    </row>
    <row r="239" spans="1:12" ht="15" x14ac:dyDescent="0.25">
      <c r="A239" s="32"/>
      <c r="B239" s="37"/>
      <c r="C239" s="39" t="s">
        <v>497</v>
      </c>
      <c r="D239" s="88" t="s">
        <v>320</v>
      </c>
      <c r="E239" s="34"/>
      <c r="F239" s="100" t="s">
        <v>147</v>
      </c>
      <c r="G239" s="35">
        <v>545000</v>
      </c>
      <c r="H239" s="35">
        <v>497228</v>
      </c>
      <c r="I239" s="35">
        <v>132807.41</v>
      </c>
      <c r="J239" s="90">
        <f t="shared" si="61"/>
        <v>0.26709559799528587</v>
      </c>
      <c r="K239" s="90">
        <f t="shared" si="60"/>
        <v>4.6076526798251966E-4</v>
      </c>
      <c r="L239" s="36">
        <f t="shared" si="59"/>
        <v>-115806.59</v>
      </c>
    </row>
    <row r="240" spans="1:12" ht="17.25" customHeight="1" x14ac:dyDescent="0.25">
      <c r="A240" s="32"/>
      <c r="B240" s="37"/>
      <c r="C240" s="39" t="s">
        <v>499</v>
      </c>
      <c r="D240" s="88" t="s">
        <v>320</v>
      </c>
      <c r="E240" s="34"/>
      <c r="F240" s="89" t="s">
        <v>148</v>
      </c>
      <c r="G240" s="35">
        <v>143000</v>
      </c>
      <c r="H240" s="35">
        <v>143000</v>
      </c>
      <c r="I240" s="35">
        <v>139000</v>
      </c>
      <c r="J240" s="90">
        <f t="shared" si="61"/>
        <v>0.97202797202797198</v>
      </c>
      <c r="K240" s="90">
        <f t="shared" si="60"/>
        <v>4.8224999079170532E-4</v>
      </c>
      <c r="L240" s="36">
        <f t="shared" si="59"/>
        <v>67500</v>
      </c>
    </row>
    <row r="241" spans="1:12" ht="15" x14ac:dyDescent="0.25">
      <c r="A241" s="32"/>
      <c r="B241" s="37"/>
      <c r="C241" s="39" t="s">
        <v>354</v>
      </c>
      <c r="D241" s="88" t="s">
        <v>320</v>
      </c>
      <c r="E241" s="34"/>
      <c r="F241" s="89" t="s">
        <v>148</v>
      </c>
      <c r="G241" s="35">
        <v>60000</v>
      </c>
      <c r="H241" s="35">
        <v>60000</v>
      </c>
      <c r="I241" s="35">
        <v>5739.99</v>
      </c>
      <c r="J241" s="90">
        <f>I241/H241</f>
        <v>9.5666500000000002E-2</v>
      </c>
      <c r="K241" s="90">
        <f>I241/$I$9</f>
        <v>1.9914461328377557E-5</v>
      </c>
      <c r="L241" s="36">
        <f t="shared" si="59"/>
        <v>-24260.010000000002</v>
      </c>
    </row>
    <row r="242" spans="1:12" ht="24.75" customHeight="1" x14ac:dyDescent="0.25">
      <c r="A242" s="40"/>
      <c r="B242" s="134"/>
      <c r="C242" s="39" t="s">
        <v>500</v>
      </c>
      <c r="D242" s="88" t="s">
        <v>320</v>
      </c>
      <c r="E242" s="34"/>
      <c r="F242" s="89" t="s">
        <v>149</v>
      </c>
      <c r="G242" s="35">
        <v>139000</v>
      </c>
      <c r="H242" s="35">
        <v>146380</v>
      </c>
      <c r="I242" s="35">
        <v>71840.509999999995</v>
      </c>
      <c r="J242" s="90">
        <f t="shared" si="61"/>
        <v>0.49078091269299079</v>
      </c>
      <c r="K242" s="90">
        <f t="shared" si="60"/>
        <v>2.4924521788468641E-4</v>
      </c>
      <c r="L242" s="36">
        <f t="shared" si="59"/>
        <v>-1349.4900000000052</v>
      </c>
    </row>
    <row r="243" spans="1:12" ht="27" customHeight="1" x14ac:dyDescent="0.25">
      <c r="A243" s="32"/>
      <c r="B243" s="37"/>
      <c r="C243" s="39" t="s">
        <v>500</v>
      </c>
      <c r="D243" s="88" t="s">
        <v>320</v>
      </c>
      <c r="E243" s="34"/>
      <c r="F243" s="89" t="s">
        <v>150</v>
      </c>
      <c r="G243" s="35">
        <v>97800</v>
      </c>
      <c r="H243" s="35">
        <v>97800</v>
      </c>
      <c r="I243" s="35">
        <v>77345.759999999995</v>
      </c>
      <c r="J243" s="90">
        <f t="shared" si="61"/>
        <v>0.79085644171779135</v>
      </c>
      <c r="K243" s="90">
        <f t="shared" si="60"/>
        <v>2.68345266530773E-4</v>
      </c>
      <c r="L243" s="36">
        <f t="shared" si="59"/>
        <v>28445.759999999995</v>
      </c>
    </row>
    <row r="244" spans="1:12" ht="38.25" x14ac:dyDescent="0.25">
      <c r="A244" s="32"/>
      <c r="B244" s="37"/>
      <c r="C244" s="39" t="s">
        <v>500</v>
      </c>
      <c r="D244" s="88" t="s">
        <v>320</v>
      </c>
      <c r="E244" s="34"/>
      <c r="F244" s="89" t="s">
        <v>151</v>
      </c>
      <c r="G244" s="35">
        <v>372000</v>
      </c>
      <c r="H244" s="35">
        <v>364620</v>
      </c>
      <c r="I244" s="35">
        <v>138357.38</v>
      </c>
      <c r="J244" s="90">
        <f t="shared" si="61"/>
        <v>0.37945636553123802</v>
      </c>
      <c r="K244" s="90">
        <f t="shared" si="60"/>
        <v>4.8002046928751423E-4</v>
      </c>
      <c r="L244" s="36">
        <f t="shared" si="59"/>
        <v>-43952.619999999995</v>
      </c>
    </row>
    <row r="245" spans="1:12" ht="25.5" x14ac:dyDescent="0.25">
      <c r="A245" s="32"/>
      <c r="B245" s="37"/>
      <c r="C245" s="39" t="s">
        <v>500</v>
      </c>
      <c r="D245" s="88" t="s">
        <v>320</v>
      </c>
      <c r="E245" s="34"/>
      <c r="F245" s="89" t="s">
        <v>524</v>
      </c>
      <c r="G245" s="35">
        <v>40000</v>
      </c>
      <c r="H245" s="35">
        <v>40000</v>
      </c>
      <c r="I245" s="35">
        <v>10670.65</v>
      </c>
      <c r="J245" s="90">
        <f t="shared" si="61"/>
        <v>0.26676624999999998</v>
      </c>
      <c r="K245" s="90">
        <f t="shared" si="60"/>
        <v>3.7021013411809427E-5</v>
      </c>
      <c r="L245" s="36">
        <f t="shared" si="59"/>
        <v>-9329.35</v>
      </c>
    </row>
    <row r="246" spans="1:12" ht="15" x14ac:dyDescent="0.25">
      <c r="A246" s="32"/>
      <c r="B246" s="37"/>
      <c r="C246" s="39" t="s">
        <v>354</v>
      </c>
      <c r="D246" s="88" t="s">
        <v>320</v>
      </c>
      <c r="E246" s="34"/>
      <c r="F246" s="89" t="s">
        <v>152</v>
      </c>
      <c r="G246" s="35">
        <v>15000</v>
      </c>
      <c r="H246" s="35">
        <v>15000</v>
      </c>
      <c r="I246" s="35">
        <v>1000</v>
      </c>
      <c r="J246" s="90">
        <f t="shared" si="61"/>
        <v>6.6666666666666666E-2</v>
      </c>
      <c r="K246" s="90">
        <f t="shared" si="60"/>
        <v>3.4694243941849301E-6</v>
      </c>
      <c r="L246" s="36">
        <f t="shared" si="59"/>
        <v>-6500</v>
      </c>
    </row>
    <row r="247" spans="1:12" s="2" customFormat="1" ht="15.75" x14ac:dyDescent="0.25">
      <c r="A247" s="76" t="s">
        <v>153</v>
      </c>
      <c r="B247" s="77"/>
      <c r="C247" s="164" t="s">
        <v>154</v>
      </c>
      <c r="D247" s="164"/>
      <c r="E247" s="164"/>
      <c r="F247" s="165"/>
      <c r="G247" s="92">
        <f>+G248+G250+G252+G254+G256</f>
        <v>428000</v>
      </c>
      <c r="H247" s="92">
        <f t="shared" ref="H247:I247" si="65">+H248+H250+H252+H254+H256</f>
        <v>428000</v>
      </c>
      <c r="I247" s="92">
        <f t="shared" si="65"/>
        <v>372949.04</v>
      </c>
      <c r="J247" s="93">
        <f t="shared" si="61"/>
        <v>0.87137626168224291</v>
      </c>
      <c r="K247" s="93">
        <f t="shared" si="60"/>
        <v>1.2939184971638513E-3</v>
      </c>
      <c r="L247" s="103">
        <f>+I247-H247*50%</f>
        <v>158949.03999999998</v>
      </c>
    </row>
    <row r="248" spans="1:12" s="1" customFormat="1" x14ac:dyDescent="0.25">
      <c r="A248" s="31"/>
      <c r="B248" s="81">
        <v>75404</v>
      </c>
      <c r="C248" s="82"/>
      <c r="D248" s="82"/>
      <c r="E248" s="82"/>
      <c r="F248" s="83" t="s">
        <v>155</v>
      </c>
      <c r="G248" s="84">
        <f>+G249</f>
        <v>105000</v>
      </c>
      <c r="H248" s="84">
        <f t="shared" ref="H248:I248" si="66">+H249</f>
        <v>105000</v>
      </c>
      <c r="I248" s="84">
        <f t="shared" si="66"/>
        <v>105000</v>
      </c>
      <c r="J248" s="85">
        <f t="shared" si="61"/>
        <v>1</v>
      </c>
      <c r="K248" s="85">
        <f t="shared" si="60"/>
        <v>3.6428956138941765E-4</v>
      </c>
      <c r="L248" s="86">
        <f>+I248-H248*50%</f>
        <v>52500</v>
      </c>
    </row>
    <row r="249" spans="1:12" ht="19.5" customHeight="1" x14ac:dyDescent="0.25">
      <c r="A249" s="32"/>
      <c r="B249" s="33"/>
      <c r="C249" s="39" t="s">
        <v>506</v>
      </c>
      <c r="D249" s="88" t="s">
        <v>320</v>
      </c>
      <c r="E249" s="34"/>
      <c r="F249" s="89" t="s">
        <v>156</v>
      </c>
      <c r="G249" s="35">
        <v>105000</v>
      </c>
      <c r="H249" s="35">
        <v>105000</v>
      </c>
      <c r="I249" s="35">
        <v>105000</v>
      </c>
      <c r="J249" s="90">
        <f t="shared" si="61"/>
        <v>1</v>
      </c>
      <c r="K249" s="90">
        <f t="shared" si="60"/>
        <v>3.6428956138941765E-4</v>
      </c>
      <c r="L249" s="36">
        <f t="shared" ref="L249" si="67">+I249-H249*50%</f>
        <v>52500</v>
      </c>
    </row>
    <row r="250" spans="1:12" s="1" customFormat="1" ht="18" customHeight="1" x14ac:dyDescent="0.25">
      <c r="A250" s="31"/>
      <c r="B250" s="81">
        <v>75410</v>
      </c>
      <c r="C250" s="82"/>
      <c r="D250" s="82"/>
      <c r="E250" s="82"/>
      <c r="F250" s="83" t="s">
        <v>157</v>
      </c>
      <c r="G250" s="84">
        <f>+G251</f>
        <v>90000</v>
      </c>
      <c r="H250" s="84">
        <f t="shared" ref="H250:I250" si="68">+H251</f>
        <v>90000</v>
      </c>
      <c r="I250" s="84">
        <f t="shared" si="68"/>
        <v>80000</v>
      </c>
      <c r="J250" s="85">
        <f t="shared" si="61"/>
        <v>0.88888888888888884</v>
      </c>
      <c r="K250" s="85">
        <f t="shared" si="60"/>
        <v>2.7755395153479442E-4</v>
      </c>
      <c r="L250" s="86">
        <f>+I250-H250*50%</f>
        <v>35000</v>
      </c>
    </row>
    <row r="251" spans="1:12" ht="18" customHeight="1" x14ac:dyDescent="0.25">
      <c r="A251" s="32"/>
      <c r="B251" s="33"/>
      <c r="C251" s="39" t="s">
        <v>506</v>
      </c>
      <c r="D251" s="88" t="s">
        <v>320</v>
      </c>
      <c r="E251" s="34"/>
      <c r="F251" s="89" t="s">
        <v>156</v>
      </c>
      <c r="G251" s="35">
        <v>90000</v>
      </c>
      <c r="H251" s="35">
        <v>90000</v>
      </c>
      <c r="I251" s="35">
        <v>80000</v>
      </c>
      <c r="J251" s="90">
        <f t="shared" si="61"/>
        <v>0.88888888888888884</v>
      </c>
      <c r="K251" s="90">
        <f t="shared" si="60"/>
        <v>2.7755395153479442E-4</v>
      </c>
      <c r="L251" s="36">
        <f t="shared" ref="L251" si="69">+I251-H251*50%</f>
        <v>35000</v>
      </c>
    </row>
    <row r="252" spans="1:12" s="1" customFormat="1" x14ac:dyDescent="0.25">
      <c r="A252" s="31"/>
      <c r="B252" s="104">
        <v>75412</v>
      </c>
      <c r="C252" s="105"/>
      <c r="D252" s="82"/>
      <c r="E252" s="82"/>
      <c r="F252" s="83" t="s">
        <v>158</v>
      </c>
      <c r="G252" s="84">
        <f>+G253</f>
        <v>24000</v>
      </c>
      <c r="H252" s="84">
        <f t="shared" ref="H252:I252" si="70">+H253</f>
        <v>24000</v>
      </c>
      <c r="I252" s="84">
        <f t="shared" si="70"/>
        <v>6000</v>
      </c>
      <c r="J252" s="85">
        <f t="shared" si="61"/>
        <v>0.25</v>
      </c>
      <c r="K252" s="85">
        <f t="shared" si="60"/>
        <v>2.0816546365109583E-5</v>
      </c>
      <c r="L252" s="86">
        <f>+I252-H252*50%</f>
        <v>-6000</v>
      </c>
    </row>
    <row r="253" spans="1:12" ht="18.75" customHeight="1" x14ac:dyDescent="0.25">
      <c r="A253" s="32"/>
      <c r="B253" s="33"/>
      <c r="C253" s="39" t="s">
        <v>506</v>
      </c>
      <c r="D253" s="88" t="s">
        <v>320</v>
      </c>
      <c r="E253" s="34"/>
      <c r="F253" s="89" t="s">
        <v>156</v>
      </c>
      <c r="G253" s="35">
        <v>24000</v>
      </c>
      <c r="H253" s="35">
        <v>24000</v>
      </c>
      <c r="I253" s="35">
        <v>6000</v>
      </c>
      <c r="J253" s="90">
        <f t="shared" si="61"/>
        <v>0.25</v>
      </c>
      <c r="K253" s="90">
        <f t="shared" si="60"/>
        <v>2.0816546365109583E-5</v>
      </c>
      <c r="L253" s="36">
        <f t="shared" ref="L253:L258" si="71">+I253-H253*50%</f>
        <v>-6000</v>
      </c>
    </row>
    <row r="254" spans="1:12" s="1" customFormat="1" x14ac:dyDescent="0.25">
      <c r="A254" s="31"/>
      <c r="B254" s="81">
        <v>75415</v>
      </c>
      <c r="C254" s="82"/>
      <c r="D254" s="82"/>
      <c r="E254" s="82"/>
      <c r="F254" s="83" t="s">
        <v>159</v>
      </c>
      <c r="G254" s="84">
        <f>+G255</f>
        <v>150000</v>
      </c>
      <c r="H254" s="84">
        <f t="shared" ref="H254:I254" si="72">+H255</f>
        <v>150000</v>
      </c>
      <c r="I254" s="84">
        <f t="shared" si="72"/>
        <v>150000</v>
      </c>
      <c r="J254" s="85">
        <f t="shared" si="61"/>
        <v>1</v>
      </c>
      <c r="K254" s="85">
        <f t="shared" si="60"/>
        <v>5.2041365912773954E-4</v>
      </c>
      <c r="L254" s="86">
        <f>+I254-H254*50%</f>
        <v>75000</v>
      </c>
    </row>
    <row r="255" spans="1:12" ht="16.5" customHeight="1" x14ac:dyDescent="0.25">
      <c r="A255" s="32"/>
      <c r="B255" s="33"/>
      <c r="C255" s="39" t="s">
        <v>506</v>
      </c>
      <c r="D255" s="88" t="s">
        <v>320</v>
      </c>
      <c r="E255" s="34"/>
      <c r="F255" s="89" t="s">
        <v>156</v>
      </c>
      <c r="G255" s="35">
        <v>150000</v>
      </c>
      <c r="H255" s="35">
        <v>150000</v>
      </c>
      <c r="I255" s="35">
        <v>150000</v>
      </c>
      <c r="J255" s="90">
        <f t="shared" si="61"/>
        <v>1</v>
      </c>
      <c r="K255" s="90">
        <f t="shared" si="60"/>
        <v>5.2041365912773954E-4</v>
      </c>
      <c r="L255" s="36">
        <f t="shared" si="71"/>
        <v>75000</v>
      </c>
    </row>
    <row r="256" spans="1:12" s="1" customFormat="1" x14ac:dyDescent="0.25">
      <c r="A256" s="31"/>
      <c r="B256" s="81">
        <v>75495</v>
      </c>
      <c r="C256" s="82"/>
      <c r="D256" s="82"/>
      <c r="E256" s="82"/>
      <c r="F256" s="83" t="s">
        <v>160</v>
      </c>
      <c r="G256" s="84">
        <f>+G257+G258</f>
        <v>59000</v>
      </c>
      <c r="H256" s="84">
        <f t="shared" ref="H256:I256" si="73">+H257+H258</f>
        <v>59000</v>
      </c>
      <c r="I256" s="84">
        <f t="shared" si="73"/>
        <v>31949.040000000001</v>
      </c>
      <c r="J256" s="85">
        <f t="shared" si="61"/>
        <v>0.54150915254237286</v>
      </c>
      <c r="K256" s="85">
        <f t="shared" si="60"/>
        <v>1.1084477874679011E-4</v>
      </c>
      <c r="L256" s="86">
        <f>+I256-H256*50%</f>
        <v>2449.0400000000009</v>
      </c>
    </row>
    <row r="257" spans="1:12" ht="15" x14ac:dyDescent="0.25">
      <c r="A257" s="32"/>
      <c r="B257" s="44"/>
      <c r="C257" s="39" t="s">
        <v>506</v>
      </c>
      <c r="D257" s="88" t="s">
        <v>320</v>
      </c>
      <c r="E257" s="34"/>
      <c r="F257" s="89" t="s">
        <v>156</v>
      </c>
      <c r="G257" s="35">
        <v>52500</v>
      </c>
      <c r="H257" s="35">
        <v>52500</v>
      </c>
      <c r="I257" s="35">
        <v>31949.040000000001</v>
      </c>
      <c r="J257" s="90">
        <f t="shared" si="61"/>
        <v>0.6085531428571429</v>
      </c>
      <c r="K257" s="90">
        <f t="shared" si="60"/>
        <v>1.1084477874679011E-4</v>
      </c>
      <c r="L257" s="36">
        <f t="shared" si="71"/>
        <v>5699.0400000000009</v>
      </c>
    </row>
    <row r="258" spans="1:12" ht="20.25" customHeight="1" x14ac:dyDescent="0.25">
      <c r="A258" s="40"/>
      <c r="B258" s="38"/>
      <c r="C258" s="39" t="s">
        <v>506</v>
      </c>
      <c r="D258" s="88" t="s">
        <v>320</v>
      </c>
      <c r="E258" s="34"/>
      <c r="F258" s="89" t="s">
        <v>161</v>
      </c>
      <c r="G258" s="35">
        <v>6500</v>
      </c>
      <c r="H258" s="35">
        <v>6500</v>
      </c>
      <c r="I258" s="35">
        <v>0</v>
      </c>
      <c r="J258" s="90">
        <f t="shared" si="61"/>
        <v>0</v>
      </c>
      <c r="K258" s="90">
        <f t="shared" si="60"/>
        <v>0</v>
      </c>
      <c r="L258" s="36">
        <f t="shared" si="71"/>
        <v>-3250</v>
      </c>
    </row>
    <row r="259" spans="1:12" s="2" customFormat="1" ht="15.75" x14ac:dyDescent="0.25">
      <c r="A259" s="76" t="s">
        <v>162</v>
      </c>
      <c r="B259" s="77"/>
      <c r="C259" s="164" t="s">
        <v>163</v>
      </c>
      <c r="D259" s="164"/>
      <c r="E259" s="164"/>
      <c r="F259" s="165"/>
      <c r="G259" s="92">
        <f>+G260</f>
        <v>16860000</v>
      </c>
      <c r="H259" s="92">
        <f t="shared" ref="H259:I259" si="74">+H260</f>
        <v>16860000</v>
      </c>
      <c r="I259" s="92">
        <f t="shared" si="74"/>
        <v>6311060.2199999997</v>
      </c>
      <c r="J259" s="93">
        <f t="shared" si="61"/>
        <v>0.37432148398576509</v>
      </c>
      <c r="K259" s="93">
        <f t="shared" si="60"/>
        <v>2.1895746280438111E-2</v>
      </c>
      <c r="L259" s="103">
        <f>+I259-H259*50%</f>
        <v>-2118939.7800000003</v>
      </c>
    </row>
    <row r="260" spans="1:12" s="1" customFormat="1" ht="29.25" customHeight="1" x14ac:dyDescent="0.25">
      <c r="A260" s="31"/>
      <c r="B260" s="81">
        <v>75702</v>
      </c>
      <c r="C260" s="82"/>
      <c r="D260" s="82"/>
      <c r="E260" s="82"/>
      <c r="F260" s="83" t="s">
        <v>164</v>
      </c>
      <c r="G260" s="84">
        <f>+G261+G262</f>
        <v>16860000</v>
      </c>
      <c r="H260" s="84">
        <f t="shared" ref="H260:I260" si="75">+H261+H262</f>
        <v>16860000</v>
      </c>
      <c r="I260" s="84">
        <f t="shared" si="75"/>
        <v>6311060.2199999997</v>
      </c>
      <c r="J260" s="85">
        <f t="shared" si="61"/>
        <v>0.37432148398576509</v>
      </c>
      <c r="K260" s="85">
        <f t="shared" si="60"/>
        <v>2.1895746280438111E-2</v>
      </c>
      <c r="L260" s="86">
        <f>+I260-H260*50%</f>
        <v>-2118939.7800000003</v>
      </c>
    </row>
    <row r="261" spans="1:12" ht="15" x14ac:dyDescent="0.25">
      <c r="A261" s="32"/>
      <c r="B261" s="44"/>
      <c r="C261" s="39" t="s">
        <v>505</v>
      </c>
      <c r="D261" s="88" t="s">
        <v>320</v>
      </c>
      <c r="E261" s="34"/>
      <c r="F261" s="89" t="s">
        <v>165</v>
      </c>
      <c r="G261" s="35">
        <v>15450000</v>
      </c>
      <c r="H261" s="35">
        <v>15450000</v>
      </c>
      <c r="I261" s="35">
        <v>6310660.2199999997</v>
      </c>
      <c r="J261" s="90">
        <f t="shared" si="61"/>
        <v>0.40845697216828475</v>
      </c>
      <c r="K261" s="90">
        <f t="shared" si="60"/>
        <v>2.1894358510680438E-2</v>
      </c>
      <c r="L261" s="36">
        <f t="shared" ref="L261:L262" si="76">+I261-H261*50%</f>
        <v>-1414339.7800000003</v>
      </c>
    </row>
    <row r="262" spans="1:12" ht="15" x14ac:dyDescent="0.25">
      <c r="A262" s="40"/>
      <c r="B262" s="38"/>
      <c r="C262" s="39" t="s">
        <v>505</v>
      </c>
      <c r="D262" s="88" t="s">
        <v>320</v>
      </c>
      <c r="E262" s="34"/>
      <c r="F262" s="89" t="s">
        <v>166</v>
      </c>
      <c r="G262" s="35">
        <v>1410000</v>
      </c>
      <c r="H262" s="35">
        <v>1410000</v>
      </c>
      <c r="I262" s="35">
        <v>400</v>
      </c>
      <c r="J262" s="90">
        <f t="shared" si="61"/>
        <v>2.8368794326241134E-4</v>
      </c>
      <c r="K262" s="90">
        <f t="shared" si="60"/>
        <v>1.3877697576739722E-6</v>
      </c>
      <c r="L262" s="36">
        <f t="shared" si="76"/>
        <v>-704600</v>
      </c>
    </row>
    <row r="263" spans="1:12" s="2" customFormat="1" ht="15.75" x14ac:dyDescent="0.25">
      <c r="A263" s="76" t="s">
        <v>167</v>
      </c>
      <c r="B263" s="77"/>
      <c r="C263" s="164" t="s">
        <v>168</v>
      </c>
      <c r="D263" s="164"/>
      <c r="E263" s="164"/>
      <c r="F263" s="165"/>
      <c r="G263" s="92">
        <f>+G264+G266</f>
        <v>18439500</v>
      </c>
      <c r="H263" s="92">
        <f t="shared" ref="H263:I263" si="77">+H264+H266</f>
        <v>21377643</v>
      </c>
      <c r="I263" s="92">
        <f t="shared" si="77"/>
        <v>0</v>
      </c>
      <c r="J263" s="93">
        <f t="shared" si="61"/>
        <v>0</v>
      </c>
      <c r="K263" s="93">
        <f t="shared" si="60"/>
        <v>0</v>
      </c>
      <c r="L263" s="103">
        <f>+I263-H263*50%</f>
        <v>-10688821.5</v>
      </c>
    </row>
    <row r="264" spans="1:12" s="1" customFormat="1" x14ac:dyDescent="0.25">
      <c r="A264" s="31"/>
      <c r="B264" s="81">
        <v>75814</v>
      </c>
      <c r="C264" s="82"/>
      <c r="D264" s="82"/>
      <c r="E264" s="82"/>
      <c r="F264" s="83" t="s">
        <v>169</v>
      </c>
      <c r="G264" s="84">
        <f>+G265</f>
        <v>500</v>
      </c>
      <c r="H264" s="84">
        <f t="shared" ref="H264:I264" si="78">+H265</f>
        <v>500</v>
      </c>
      <c r="I264" s="84">
        <f t="shared" si="78"/>
        <v>0</v>
      </c>
      <c r="J264" s="85">
        <f t="shared" si="61"/>
        <v>0</v>
      </c>
      <c r="K264" s="85">
        <f t="shared" si="60"/>
        <v>0</v>
      </c>
      <c r="L264" s="86">
        <f>+I264-H264*50%</f>
        <v>-250</v>
      </c>
    </row>
    <row r="265" spans="1:12" ht="15" x14ac:dyDescent="0.25">
      <c r="A265" s="32"/>
      <c r="B265" s="33"/>
      <c r="C265" s="39" t="s">
        <v>505</v>
      </c>
      <c r="D265" s="88" t="s">
        <v>320</v>
      </c>
      <c r="E265" s="34"/>
      <c r="F265" s="89" t="s">
        <v>170</v>
      </c>
      <c r="G265" s="35">
        <v>500</v>
      </c>
      <c r="H265" s="35">
        <v>500</v>
      </c>
      <c r="I265" s="35">
        <v>0</v>
      </c>
      <c r="J265" s="90">
        <f t="shared" si="61"/>
        <v>0</v>
      </c>
      <c r="K265" s="90">
        <f t="shared" si="60"/>
        <v>0</v>
      </c>
      <c r="L265" s="36">
        <f t="shared" ref="L265" si="79">+I265-H265*50%</f>
        <v>-250</v>
      </c>
    </row>
    <row r="266" spans="1:12" s="1" customFormat="1" x14ac:dyDescent="0.25">
      <c r="A266" s="31"/>
      <c r="B266" s="81">
        <v>75818</v>
      </c>
      <c r="C266" s="82"/>
      <c r="D266" s="82"/>
      <c r="E266" s="82"/>
      <c r="F266" s="83" t="s">
        <v>171</v>
      </c>
      <c r="G266" s="84">
        <f>+G267+G268+G269+G270+G271+G272+G273+G274+G275</f>
        <v>18439000</v>
      </c>
      <c r="H266" s="84">
        <f>SUM(H267:H275)</f>
        <v>21377143</v>
      </c>
      <c r="I266" s="84">
        <f t="shared" ref="I266" si="80">+I267+I268+I269+I270+I271+I272+I273+I274+I275</f>
        <v>0</v>
      </c>
      <c r="J266" s="85">
        <f t="shared" si="61"/>
        <v>0</v>
      </c>
      <c r="K266" s="85">
        <f t="shared" si="60"/>
        <v>0</v>
      </c>
      <c r="L266" s="86">
        <f>+I266-H266*50%</f>
        <v>-10688571.5</v>
      </c>
    </row>
    <row r="267" spans="1:12" ht="25.5" x14ac:dyDescent="0.25">
      <c r="A267" s="32"/>
      <c r="B267" s="44"/>
      <c r="C267" s="39" t="s">
        <v>503</v>
      </c>
      <c r="D267" s="88" t="s">
        <v>320</v>
      </c>
      <c r="E267" s="34"/>
      <c r="F267" s="89" t="s">
        <v>172</v>
      </c>
      <c r="G267" s="35">
        <v>2000000</v>
      </c>
      <c r="H267" s="35">
        <v>2000000</v>
      </c>
      <c r="I267" s="35">
        <v>0</v>
      </c>
      <c r="J267" s="90">
        <f t="shared" si="61"/>
        <v>0</v>
      </c>
      <c r="K267" s="90">
        <f t="shared" ref="K267:K338" si="81">I267/$I$9</f>
        <v>0</v>
      </c>
      <c r="L267" s="36">
        <f t="shared" ref="L267:L275" si="82">+I267-H267*50%</f>
        <v>-1000000</v>
      </c>
    </row>
    <row r="268" spans="1:12" ht="27.75" customHeight="1" x14ac:dyDescent="0.25">
      <c r="A268" s="32"/>
      <c r="B268" s="37"/>
      <c r="C268" s="39" t="s">
        <v>503</v>
      </c>
      <c r="D268" s="88" t="s">
        <v>320</v>
      </c>
      <c r="E268" s="34"/>
      <c r="F268" s="89" t="s">
        <v>173</v>
      </c>
      <c r="G268" s="35">
        <v>918000</v>
      </c>
      <c r="H268" s="35">
        <v>918000</v>
      </c>
      <c r="I268" s="35">
        <v>0</v>
      </c>
      <c r="J268" s="90">
        <f t="shared" si="61"/>
        <v>0</v>
      </c>
      <c r="K268" s="90">
        <f t="shared" si="81"/>
        <v>0</v>
      </c>
      <c r="L268" s="36">
        <f t="shared" si="82"/>
        <v>-459000</v>
      </c>
    </row>
    <row r="269" spans="1:12" ht="15" x14ac:dyDescent="0.25">
      <c r="A269" s="32"/>
      <c r="B269" s="37"/>
      <c r="C269" s="39" t="s">
        <v>505</v>
      </c>
      <c r="D269" s="88" t="s">
        <v>320</v>
      </c>
      <c r="E269" s="34"/>
      <c r="F269" s="89" t="s">
        <v>174</v>
      </c>
      <c r="G269" s="35">
        <v>3300000</v>
      </c>
      <c r="H269" s="35">
        <v>5038880</v>
      </c>
      <c r="I269" s="35">
        <v>0</v>
      </c>
      <c r="J269" s="90">
        <f t="shared" si="61"/>
        <v>0</v>
      </c>
      <c r="K269" s="90">
        <f t="shared" si="81"/>
        <v>0</v>
      </c>
      <c r="L269" s="36">
        <f t="shared" si="82"/>
        <v>-2519440</v>
      </c>
    </row>
    <row r="270" spans="1:12" ht="27" customHeight="1" x14ac:dyDescent="0.25">
      <c r="A270" s="32"/>
      <c r="B270" s="37"/>
      <c r="C270" s="39" t="s">
        <v>505</v>
      </c>
      <c r="D270" s="88" t="s">
        <v>323</v>
      </c>
      <c r="E270" s="34"/>
      <c r="F270" s="89" t="s">
        <v>175</v>
      </c>
      <c r="G270" s="35">
        <v>1650000</v>
      </c>
      <c r="H270" s="35">
        <v>1650000</v>
      </c>
      <c r="I270" s="35">
        <v>0</v>
      </c>
      <c r="J270" s="90">
        <f t="shared" si="61"/>
        <v>0</v>
      </c>
      <c r="K270" s="90">
        <f t="shared" si="81"/>
        <v>0</v>
      </c>
      <c r="L270" s="36">
        <f t="shared" si="82"/>
        <v>-825000</v>
      </c>
    </row>
    <row r="271" spans="1:12" ht="15" x14ac:dyDescent="0.25">
      <c r="A271" s="32"/>
      <c r="B271" s="37"/>
      <c r="C271" s="87" t="s">
        <v>331</v>
      </c>
      <c r="D271" s="88" t="s">
        <v>320</v>
      </c>
      <c r="E271" s="34"/>
      <c r="F271" s="89" t="s">
        <v>176</v>
      </c>
      <c r="G271" s="35">
        <v>2500000</v>
      </c>
      <c r="H271" s="35">
        <v>2500000</v>
      </c>
      <c r="I271" s="35">
        <v>0</v>
      </c>
      <c r="J271" s="90">
        <f t="shared" si="61"/>
        <v>0</v>
      </c>
      <c r="K271" s="90">
        <f t="shared" si="81"/>
        <v>0</v>
      </c>
      <c r="L271" s="36">
        <f t="shared" si="82"/>
        <v>-1250000</v>
      </c>
    </row>
    <row r="272" spans="1:12" ht="51" x14ac:dyDescent="0.25">
      <c r="A272" s="32"/>
      <c r="B272" s="37"/>
      <c r="C272" s="39" t="s">
        <v>502</v>
      </c>
      <c r="D272" s="88" t="s">
        <v>320</v>
      </c>
      <c r="E272" s="34"/>
      <c r="F272" s="89" t="s">
        <v>177</v>
      </c>
      <c r="G272" s="35">
        <v>0</v>
      </c>
      <c r="H272" s="35">
        <v>40000</v>
      </c>
      <c r="I272" s="35">
        <v>0</v>
      </c>
      <c r="J272" s="90">
        <f t="shared" si="61"/>
        <v>0</v>
      </c>
      <c r="K272" s="90">
        <f t="shared" si="81"/>
        <v>0</v>
      </c>
      <c r="L272" s="36">
        <f t="shared" si="82"/>
        <v>-20000</v>
      </c>
    </row>
    <row r="273" spans="1:12" ht="51" x14ac:dyDescent="0.25">
      <c r="A273" s="32"/>
      <c r="B273" s="37"/>
      <c r="C273" s="39" t="s">
        <v>502</v>
      </c>
      <c r="D273" s="88" t="s">
        <v>323</v>
      </c>
      <c r="E273" s="34"/>
      <c r="F273" s="89" t="s">
        <v>177</v>
      </c>
      <c r="G273" s="35">
        <v>600000</v>
      </c>
      <c r="H273" s="35">
        <v>351200</v>
      </c>
      <c r="I273" s="35">
        <v>0</v>
      </c>
      <c r="J273" s="90">
        <f t="shared" si="61"/>
        <v>0</v>
      </c>
      <c r="K273" s="90">
        <f t="shared" si="81"/>
        <v>0</v>
      </c>
      <c r="L273" s="36">
        <f t="shared" si="82"/>
        <v>-175600</v>
      </c>
    </row>
    <row r="274" spans="1:12" ht="25.5" x14ac:dyDescent="0.25">
      <c r="A274" s="32"/>
      <c r="B274" s="37"/>
      <c r="C274" s="39" t="s">
        <v>502</v>
      </c>
      <c r="D274" s="88" t="s">
        <v>323</v>
      </c>
      <c r="E274" s="34"/>
      <c r="F274" s="89" t="s">
        <v>178</v>
      </c>
      <c r="G274" s="35">
        <v>1000000</v>
      </c>
      <c r="H274" s="35">
        <v>1000000</v>
      </c>
      <c r="I274" s="35">
        <v>0</v>
      </c>
      <c r="J274" s="90">
        <f t="shared" ref="J274:J346" si="83">I274/H274</f>
        <v>0</v>
      </c>
      <c r="K274" s="90">
        <f t="shared" si="81"/>
        <v>0</v>
      </c>
      <c r="L274" s="36">
        <f t="shared" si="82"/>
        <v>-500000</v>
      </c>
    </row>
    <row r="275" spans="1:12" ht="25.5" x14ac:dyDescent="0.25">
      <c r="A275" s="40"/>
      <c r="B275" s="38"/>
      <c r="C275" s="39" t="s">
        <v>326</v>
      </c>
      <c r="D275" s="88" t="s">
        <v>323</v>
      </c>
      <c r="E275" s="34"/>
      <c r="F275" s="89" t="s">
        <v>179</v>
      </c>
      <c r="G275" s="35">
        <v>6471000</v>
      </c>
      <c r="H275" s="35">
        <v>7879063</v>
      </c>
      <c r="I275" s="35">
        <v>0</v>
      </c>
      <c r="J275" s="90">
        <f t="shared" si="83"/>
        <v>0</v>
      </c>
      <c r="K275" s="90">
        <f t="shared" si="81"/>
        <v>0</v>
      </c>
      <c r="L275" s="36">
        <f t="shared" si="82"/>
        <v>-3939531.5</v>
      </c>
    </row>
    <row r="276" spans="1:12" s="2" customFormat="1" ht="15.75" x14ac:dyDescent="0.25">
      <c r="A276" s="76" t="s">
        <v>180</v>
      </c>
      <c r="B276" s="77"/>
      <c r="C276" s="164" t="s">
        <v>528</v>
      </c>
      <c r="D276" s="164"/>
      <c r="E276" s="164"/>
      <c r="F276" s="165"/>
      <c r="G276" s="92">
        <f>+G277+G280+G282+G284+G287+G289+G299+G303</f>
        <v>21283672</v>
      </c>
      <c r="H276" s="92">
        <f t="shared" ref="H276:I276" si="84">+H277+H280+H282+H284+H287+H289+H299+H303</f>
        <v>20857807</v>
      </c>
      <c r="I276" s="92">
        <f t="shared" si="84"/>
        <v>10182115.49</v>
      </c>
      <c r="J276" s="93">
        <f t="shared" si="83"/>
        <v>0.48816807490835445</v>
      </c>
      <c r="K276" s="93">
        <f t="shared" si="81"/>
        <v>3.5326079865414244E-2</v>
      </c>
      <c r="L276" s="92">
        <f t="shared" ref="L276" si="85">+L277+L280+L282+L284+L287+L289+L299+L303</f>
        <v>-246788.00999999943</v>
      </c>
    </row>
    <row r="277" spans="1:12" s="1" customFormat="1" x14ac:dyDescent="0.25">
      <c r="A277" s="31"/>
      <c r="B277" s="81">
        <v>80102</v>
      </c>
      <c r="C277" s="82"/>
      <c r="D277" s="82"/>
      <c r="E277" s="82"/>
      <c r="F277" s="83" t="s">
        <v>181</v>
      </c>
      <c r="G277" s="84">
        <f>+G278+G279</f>
        <v>622831</v>
      </c>
      <c r="H277" s="84">
        <f>+H278+H279</f>
        <v>625348</v>
      </c>
      <c r="I277" s="84">
        <f t="shared" ref="I277" si="86">+I278+I279</f>
        <v>267451.34000000003</v>
      </c>
      <c r="J277" s="85">
        <f t="shared" si="83"/>
        <v>0.42768400954348623</v>
      </c>
      <c r="K277" s="85">
        <f t="shared" si="81"/>
        <v>9.2790220325344791E-4</v>
      </c>
      <c r="L277" s="86">
        <f>+I277-H277*50%</f>
        <v>-45222.659999999974</v>
      </c>
    </row>
    <row r="278" spans="1:12" ht="25.5" x14ac:dyDescent="0.25">
      <c r="A278" s="32"/>
      <c r="B278" s="44"/>
      <c r="C278" s="106" t="s">
        <v>377</v>
      </c>
      <c r="D278" s="88" t="s">
        <v>320</v>
      </c>
      <c r="E278" s="34"/>
      <c r="F278" s="89" t="s">
        <v>182</v>
      </c>
      <c r="G278" s="35">
        <v>0</v>
      </c>
      <c r="H278" s="35">
        <v>1000</v>
      </c>
      <c r="I278" s="35">
        <v>1000</v>
      </c>
      <c r="J278" s="90">
        <f t="shared" si="83"/>
        <v>1</v>
      </c>
      <c r="K278" s="90">
        <f t="shared" si="81"/>
        <v>3.4694243941849301E-6</v>
      </c>
      <c r="L278" s="36">
        <f t="shared" ref="L278:L279" si="87">+I278-H278*50%</f>
        <v>500</v>
      </c>
    </row>
    <row r="279" spans="1:12" ht="22.5" x14ac:dyDescent="0.25">
      <c r="A279" s="32"/>
      <c r="B279" s="38"/>
      <c r="C279" s="106" t="s">
        <v>377</v>
      </c>
      <c r="D279" s="88" t="s">
        <v>320</v>
      </c>
      <c r="E279" s="34"/>
      <c r="F279" s="89" t="s">
        <v>183</v>
      </c>
      <c r="G279" s="35">
        <v>622831</v>
      </c>
      <c r="H279" s="35">
        <v>624348</v>
      </c>
      <c r="I279" s="35">
        <v>266451.34000000003</v>
      </c>
      <c r="J279" s="90">
        <f t="shared" si="83"/>
        <v>0.42676734769711766</v>
      </c>
      <c r="K279" s="90">
        <f t="shared" si="81"/>
        <v>9.2443277885926299E-4</v>
      </c>
      <c r="L279" s="36">
        <f t="shared" si="87"/>
        <v>-45722.659999999974</v>
      </c>
    </row>
    <row r="280" spans="1:12" s="1" customFormat="1" x14ac:dyDescent="0.25">
      <c r="A280" s="31"/>
      <c r="B280" s="81">
        <v>80111</v>
      </c>
      <c r="C280" s="82"/>
      <c r="D280" s="82"/>
      <c r="E280" s="82"/>
      <c r="F280" s="83" t="s">
        <v>184</v>
      </c>
      <c r="G280" s="84">
        <f>+G281</f>
        <v>304441</v>
      </c>
      <c r="H280" s="84">
        <f t="shared" ref="H280:I280" si="88">+H281</f>
        <v>305360</v>
      </c>
      <c r="I280" s="84">
        <f t="shared" si="88"/>
        <v>154296.38</v>
      </c>
      <c r="J280" s="85">
        <f t="shared" si="83"/>
        <v>0.50529335865863245</v>
      </c>
      <c r="K280" s="85">
        <f t="shared" si="81"/>
        <v>5.3531962470642778E-4</v>
      </c>
      <c r="L280" s="86">
        <f>+I280-H280*50%</f>
        <v>1616.3800000000047</v>
      </c>
    </row>
    <row r="281" spans="1:12" ht="25.5" x14ac:dyDescent="0.25">
      <c r="A281" s="32"/>
      <c r="B281" s="33"/>
      <c r="C281" s="106" t="s">
        <v>377</v>
      </c>
      <c r="D281" s="88" t="s">
        <v>320</v>
      </c>
      <c r="E281" s="34"/>
      <c r="F281" s="89" t="s">
        <v>185</v>
      </c>
      <c r="G281" s="35">
        <v>304441</v>
      </c>
      <c r="H281" s="35">
        <v>305360</v>
      </c>
      <c r="I281" s="35">
        <v>154296.38</v>
      </c>
      <c r="J281" s="90">
        <f t="shared" si="83"/>
        <v>0.50529335865863245</v>
      </c>
      <c r="K281" s="90">
        <f t="shared" si="81"/>
        <v>5.3531962470642778E-4</v>
      </c>
      <c r="L281" s="36">
        <f t="shared" ref="L281" si="89">+I281-H281*50%</f>
        <v>1616.3800000000047</v>
      </c>
    </row>
    <row r="282" spans="1:12" s="1" customFormat="1" x14ac:dyDescent="0.25">
      <c r="A282" s="31"/>
      <c r="B282" s="81">
        <v>80120</v>
      </c>
      <c r="C282" s="82"/>
      <c r="D282" s="82"/>
      <c r="E282" s="82"/>
      <c r="F282" s="83" t="s">
        <v>186</v>
      </c>
      <c r="G282" s="84">
        <f>+G283</f>
        <v>727371</v>
      </c>
      <c r="H282" s="84">
        <f t="shared" ref="H282:I282" si="90">+H283</f>
        <v>724656</v>
      </c>
      <c r="I282" s="84">
        <f t="shared" si="90"/>
        <v>374529.43</v>
      </c>
      <c r="J282" s="85">
        <f t="shared" si="83"/>
        <v>0.51683754774679291</v>
      </c>
      <c r="K282" s="85">
        <f t="shared" si="81"/>
        <v>1.2994015407821772E-3</v>
      </c>
      <c r="L282" s="86">
        <f>+I282-H282*50%</f>
        <v>12201.429999999993</v>
      </c>
    </row>
    <row r="283" spans="1:12" ht="27.75" customHeight="1" x14ac:dyDescent="0.25">
      <c r="A283" s="32"/>
      <c r="B283" s="33"/>
      <c r="C283" s="106" t="s">
        <v>378</v>
      </c>
      <c r="D283" s="88" t="s">
        <v>320</v>
      </c>
      <c r="E283" s="107"/>
      <c r="F283" s="89" t="s">
        <v>187</v>
      </c>
      <c r="G283" s="35">
        <v>727371</v>
      </c>
      <c r="H283" s="35">
        <v>724656</v>
      </c>
      <c r="I283" s="35">
        <v>374529.43</v>
      </c>
      <c r="J283" s="90">
        <f t="shared" si="83"/>
        <v>0.51683754774679291</v>
      </c>
      <c r="K283" s="90">
        <f t="shared" si="81"/>
        <v>1.2994015407821772E-3</v>
      </c>
      <c r="L283" s="36">
        <f t="shared" ref="L283" si="91">+I283-H283*50%</f>
        <v>12201.429999999993</v>
      </c>
    </row>
    <row r="284" spans="1:12" s="1" customFormat="1" x14ac:dyDescent="0.25">
      <c r="A284" s="31"/>
      <c r="B284" s="81">
        <v>80130</v>
      </c>
      <c r="C284" s="82"/>
      <c r="D284" s="82"/>
      <c r="E284" s="82"/>
      <c r="F284" s="83" t="s">
        <v>188</v>
      </c>
      <c r="G284" s="84">
        <f>+G285+G286</f>
        <v>7894991</v>
      </c>
      <c r="H284" s="84">
        <f t="shared" ref="H284:I284" si="92">+H285+H286</f>
        <v>7803338</v>
      </c>
      <c r="I284" s="84">
        <f t="shared" si="92"/>
        <v>3894836.08</v>
      </c>
      <c r="J284" s="85">
        <f t="shared" si="83"/>
        <v>0.49912435934468047</v>
      </c>
      <c r="K284" s="85">
        <f t="shared" si="81"/>
        <v>1.3512839307303608E-2</v>
      </c>
      <c r="L284" s="86">
        <f>+I284-H284*50%</f>
        <v>-6832.9199999999255</v>
      </c>
    </row>
    <row r="285" spans="1:12" ht="27" customHeight="1" x14ac:dyDescent="0.25">
      <c r="A285" s="32"/>
      <c r="B285" s="44"/>
      <c r="C285" s="106" t="s">
        <v>379</v>
      </c>
      <c r="D285" s="88" t="s">
        <v>320</v>
      </c>
      <c r="E285" s="34"/>
      <c r="F285" s="89" t="s">
        <v>189</v>
      </c>
      <c r="G285" s="35">
        <v>2091146</v>
      </c>
      <c r="H285" s="35">
        <v>2081784</v>
      </c>
      <c r="I285" s="35">
        <v>1001732.6</v>
      </c>
      <c r="J285" s="90">
        <f t="shared" si="83"/>
        <v>0.48118949900662122</v>
      </c>
      <c r="K285" s="90">
        <f t="shared" si="81"/>
        <v>3.4754355188902951E-3</v>
      </c>
      <c r="L285" s="36">
        <f t="shared" ref="L285:L286" si="93">+I285-H285*50%</f>
        <v>-39159.400000000023</v>
      </c>
    </row>
    <row r="286" spans="1:12" ht="19.5" customHeight="1" x14ac:dyDescent="0.25">
      <c r="A286" s="32"/>
      <c r="B286" s="38"/>
      <c r="C286" s="106" t="s">
        <v>380</v>
      </c>
      <c r="D286" s="88" t="s">
        <v>320</v>
      </c>
      <c r="E286" s="34"/>
      <c r="F286" s="100" t="s">
        <v>190</v>
      </c>
      <c r="G286" s="35">
        <v>5803845</v>
      </c>
      <c r="H286" s="35">
        <v>5721554</v>
      </c>
      <c r="I286" s="35">
        <v>2893103.48</v>
      </c>
      <c r="J286" s="90">
        <f t="shared" si="83"/>
        <v>0.50564994754921477</v>
      </c>
      <c r="K286" s="90">
        <f t="shared" si="81"/>
        <v>1.0037403788413314E-2</v>
      </c>
      <c r="L286" s="36">
        <f t="shared" si="93"/>
        <v>32326.479999999981</v>
      </c>
    </row>
    <row r="287" spans="1:12" s="1" customFormat="1" ht="21" customHeight="1" x14ac:dyDescent="0.25">
      <c r="A287" s="31"/>
      <c r="B287" s="81">
        <v>80141</v>
      </c>
      <c r="C287" s="82"/>
      <c r="D287" s="82"/>
      <c r="E287" s="82"/>
      <c r="F287" s="83" t="s">
        <v>191</v>
      </c>
      <c r="G287" s="84">
        <f>+G288</f>
        <v>2146786</v>
      </c>
      <c r="H287" s="84">
        <f t="shared" ref="H287:I287" si="94">+H288</f>
        <v>2122110</v>
      </c>
      <c r="I287" s="84">
        <f t="shared" si="94"/>
        <v>967462.33</v>
      </c>
      <c r="J287" s="85">
        <f t="shared" si="83"/>
        <v>0.45589640970543466</v>
      </c>
      <c r="K287" s="85">
        <f t="shared" si="81"/>
        <v>3.356537408156991E-3</v>
      </c>
      <c r="L287" s="86">
        <f>+I287-H287*50%</f>
        <v>-93592.670000000042</v>
      </c>
    </row>
    <row r="288" spans="1:12" ht="25.5" x14ac:dyDescent="0.25">
      <c r="A288" s="32"/>
      <c r="B288" s="33"/>
      <c r="C288" s="106" t="s">
        <v>381</v>
      </c>
      <c r="D288" s="88" t="s">
        <v>320</v>
      </c>
      <c r="E288" s="34"/>
      <c r="F288" s="89" t="s">
        <v>192</v>
      </c>
      <c r="G288" s="35">
        <v>2146786</v>
      </c>
      <c r="H288" s="35">
        <v>2122110</v>
      </c>
      <c r="I288" s="35">
        <v>967462.33</v>
      </c>
      <c r="J288" s="90">
        <f t="shared" si="83"/>
        <v>0.45589640970543466</v>
      </c>
      <c r="K288" s="90">
        <f t="shared" si="81"/>
        <v>3.356537408156991E-3</v>
      </c>
      <c r="L288" s="36">
        <f t="shared" ref="L288:L309" si="95">+I288-H288*50%</f>
        <v>-93592.670000000042</v>
      </c>
    </row>
    <row r="289" spans="1:12" s="1" customFormat="1" x14ac:dyDescent="0.25">
      <c r="A289" s="31"/>
      <c r="B289" s="81">
        <v>80146</v>
      </c>
      <c r="C289" s="82"/>
      <c r="D289" s="82"/>
      <c r="E289" s="82"/>
      <c r="F289" s="83" t="s">
        <v>193</v>
      </c>
      <c r="G289" s="84">
        <f>+G290+G291+G292+G293+G294+G295+G296+G297+G298</f>
        <v>4882123</v>
      </c>
      <c r="H289" s="84">
        <f t="shared" ref="H289:I289" si="96">+H290+H291+H292+H293+H294+H295+H296+H297+H298</f>
        <v>4792155</v>
      </c>
      <c r="I289" s="84">
        <f t="shared" si="96"/>
        <v>2254680.8800000004</v>
      </c>
      <c r="J289" s="85">
        <f t="shared" si="83"/>
        <v>0.47049414720517185</v>
      </c>
      <c r="K289" s="85">
        <f t="shared" si="81"/>
        <v>7.8224448461743472E-3</v>
      </c>
      <c r="L289" s="86">
        <f>+I289-H289*50%</f>
        <v>-141396.61999999965</v>
      </c>
    </row>
    <row r="290" spans="1:12" ht="25.5" x14ac:dyDescent="0.25">
      <c r="A290" s="32"/>
      <c r="B290" s="44"/>
      <c r="C290" s="106" t="s">
        <v>382</v>
      </c>
      <c r="D290" s="88" t="s">
        <v>320</v>
      </c>
      <c r="E290" s="34"/>
      <c r="F290" s="89" t="s">
        <v>194</v>
      </c>
      <c r="G290" s="35">
        <v>2182239</v>
      </c>
      <c r="H290" s="35">
        <v>2170767</v>
      </c>
      <c r="I290" s="35">
        <v>1043957.18</v>
      </c>
      <c r="J290" s="90">
        <f t="shared" si="83"/>
        <v>0.48091627521516589</v>
      </c>
      <c r="K290" s="90">
        <f t="shared" si="81"/>
        <v>3.6219305067765085E-3</v>
      </c>
      <c r="L290" s="36">
        <f t="shared" si="95"/>
        <v>-41426.319999999949</v>
      </c>
    </row>
    <row r="291" spans="1:12" ht="38.25" x14ac:dyDescent="0.25">
      <c r="A291" s="40"/>
      <c r="B291" s="134"/>
      <c r="C291" s="106" t="s">
        <v>382</v>
      </c>
      <c r="D291" s="88" t="s">
        <v>323</v>
      </c>
      <c r="E291" s="34" t="s">
        <v>390</v>
      </c>
      <c r="F291" s="89" t="s">
        <v>459</v>
      </c>
      <c r="G291" s="35">
        <v>300000</v>
      </c>
      <c r="H291" s="35">
        <v>300000</v>
      </c>
      <c r="I291" s="35">
        <v>0</v>
      </c>
      <c r="J291" s="90">
        <f t="shared" si="83"/>
        <v>0</v>
      </c>
      <c r="K291" s="90">
        <f t="shared" si="81"/>
        <v>0</v>
      </c>
      <c r="L291" s="36">
        <f t="shared" si="95"/>
        <v>-150000</v>
      </c>
    </row>
    <row r="292" spans="1:12" ht="25.5" x14ac:dyDescent="0.25">
      <c r="A292" s="32"/>
      <c r="B292" s="37"/>
      <c r="C292" s="106" t="s">
        <v>383</v>
      </c>
      <c r="D292" s="88" t="s">
        <v>320</v>
      </c>
      <c r="E292" s="34"/>
      <c r="F292" s="89" t="s">
        <v>194</v>
      </c>
      <c r="G292" s="35">
        <v>2337775</v>
      </c>
      <c r="H292" s="35">
        <v>2259279</v>
      </c>
      <c r="I292" s="35">
        <v>1197750.6000000001</v>
      </c>
      <c r="J292" s="90">
        <f t="shared" si="83"/>
        <v>0.53014727264760131</v>
      </c>
      <c r="K292" s="90">
        <f t="shared" si="81"/>
        <v>4.1555051497896367E-3</v>
      </c>
      <c r="L292" s="36">
        <f t="shared" si="95"/>
        <v>68111.100000000093</v>
      </c>
    </row>
    <row r="293" spans="1:12" ht="15" x14ac:dyDescent="0.25">
      <c r="A293" s="32"/>
      <c r="B293" s="37"/>
      <c r="C293" s="106" t="s">
        <v>381</v>
      </c>
      <c r="D293" s="88" t="s">
        <v>320</v>
      </c>
      <c r="E293" s="34"/>
      <c r="F293" s="89" t="s">
        <v>195</v>
      </c>
      <c r="G293" s="35">
        <v>0</v>
      </c>
      <c r="H293" s="35">
        <v>4000</v>
      </c>
      <c r="I293" s="35">
        <v>0</v>
      </c>
      <c r="J293" s="90">
        <f t="shared" si="83"/>
        <v>0</v>
      </c>
      <c r="K293" s="90">
        <f t="shared" si="81"/>
        <v>0</v>
      </c>
      <c r="L293" s="36">
        <f t="shared" si="95"/>
        <v>-2000</v>
      </c>
    </row>
    <row r="294" spans="1:12" ht="22.5" x14ac:dyDescent="0.25">
      <c r="A294" s="32"/>
      <c r="B294" s="37"/>
      <c r="C294" s="106" t="s">
        <v>379</v>
      </c>
      <c r="D294" s="88" t="s">
        <v>320</v>
      </c>
      <c r="E294" s="34"/>
      <c r="F294" s="89" t="s">
        <v>195</v>
      </c>
      <c r="G294" s="35">
        <v>0</v>
      </c>
      <c r="H294" s="35">
        <v>12000</v>
      </c>
      <c r="I294" s="35">
        <v>1225.28</v>
      </c>
      <c r="J294" s="90">
        <f t="shared" si="83"/>
        <v>0.10210666666666667</v>
      </c>
      <c r="K294" s="90">
        <f t="shared" si="81"/>
        <v>4.2510163217069115E-6</v>
      </c>
      <c r="L294" s="36">
        <f t="shared" si="95"/>
        <v>-4774.72</v>
      </c>
    </row>
    <row r="295" spans="1:12" ht="22.5" x14ac:dyDescent="0.25">
      <c r="A295" s="32"/>
      <c r="B295" s="37"/>
      <c r="C295" s="106" t="s">
        <v>377</v>
      </c>
      <c r="D295" s="88" t="s">
        <v>320</v>
      </c>
      <c r="E295" s="34"/>
      <c r="F295" s="89" t="s">
        <v>195</v>
      </c>
      <c r="G295" s="35">
        <v>0</v>
      </c>
      <c r="H295" s="35">
        <v>3000</v>
      </c>
      <c r="I295" s="35">
        <v>130.12</v>
      </c>
      <c r="J295" s="90">
        <f t="shared" si="83"/>
        <v>4.3373333333333333E-2</v>
      </c>
      <c r="K295" s="90">
        <f t="shared" si="81"/>
        <v>4.5144150217134314E-7</v>
      </c>
      <c r="L295" s="36">
        <f t="shared" si="95"/>
        <v>-1369.88</v>
      </c>
    </row>
    <row r="296" spans="1:12" ht="22.5" x14ac:dyDescent="0.25">
      <c r="A296" s="32"/>
      <c r="B296" s="37"/>
      <c r="C296" s="106" t="s">
        <v>378</v>
      </c>
      <c r="D296" s="88" t="s">
        <v>320</v>
      </c>
      <c r="E296" s="34"/>
      <c r="F296" s="89" t="s">
        <v>195</v>
      </c>
      <c r="G296" s="35">
        <v>0</v>
      </c>
      <c r="H296" s="35">
        <v>5000</v>
      </c>
      <c r="I296" s="35">
        <v>4247.54</v>
      </c>
      <c r="J296" s="90">
        <f t="shared" si="83"/>
        <v>0.84950800000000004</v>
      </c>
      <c r="K296" s="90">
        <f t="shared" si="81"/>
        <v>1.4736518891276259E-5</v>
      </c>
      <c r="L296" s="36">
        <f t="shared" si="95"/>
        <v>1747.54</v>
      </c>
    </row>
    <row r="297" spans="1:12" ht="22.5" x14ac:dyDescent="0.25">
      <c r="A297" s="32"/>
      <c r="B297" s="37"/>
      <c r="C297" s="106" t="s">
        <v>380</v>
      </c>
      <c r="D297" s="88" t="s">
        <v>320</v>
      </c>
      <c r="E297" s="34"/>
      <c r="F297" s="89" t="s">
        <v>195</v>
      </c>
      <c r="G297" s="35">
        <v>0</v>
      </c>
      <c r="H297" s="35">
        <v>29346</v>
      </c>
      <c r="I297" s="35">
        <v>7370.16</v>
      </c>
      <c r="J297" s="90">
        <f t="shared" si="83"/>
        <v>0.25114700470251483</v>
      </c>
      <c r="K297" s="90">
        <f t="shared" si="81"/>
        <v>2.5570212893046004E-5</v>
      </c>
      <c r="L297" s="36">
        <f t="shared" si="95"/>
        <v>-7302.84</v>
      </c>
    </row>
    <row r="298" spans="1:12" ht="15" x14ac:dyDescent="0.25">
      <c r="A298" s="32"/>
      <c r="B298" s="134"/>
      <c r="C298" s="39" t="s">
        <v>499</v>
      </c>
      <c r="D298" s="88" t="s">
        <v>320</v>
      </c>
      <c r="E298" s="34"/>
      <c r="F298" s="89" t="s">
        <v>195</v>
      </c>
      <c r="G298" s="35">
        <v>62109</v>
      </c>
      <c r="H298" s="35">
        <v>8763</v>
      </c>
      <c r="I298" s="35">
        <v>0</v>
      </c>
      <c r="J298" s="90">
        <f t="shared" si="83"/>
        <v>0</v>
      </c>
      <c r="K298" s="90">
        <f t="shared" si="81"/>
        <v>0</v>
      </c>
      <c r="L298" s="36">
        <f t="shared" si="95"/>
        <v>-4381.5</v>
      </c>
    </row>
    <row r="299" spans="1:12" s="1" customFormat="1" x14ac:dyDescent="0.25">
      <c r="A299" s="31"/>
      <c r="B299" s="104">
        <v>80147</v>
      </c>
      <c r="C299" s="82"/>
      <c r="D299" s="82"/>
      <c r="E299" s="82"/>
      <c r="F299" s="83" t="s">
        <v>196</v>
      </c>
      <c r="G299" s="84">
        <f>+G300+G301+G302</f>
        <v>4018239</v>
      </c>
      <c r="H299" s="84">
        <f t="shared" ref="H299:I299" si="97">+H300+H301+H302</f>
        <v>3810758</v>
      </c>
      <c r="I299" s="84">
        <f t="shared" si="97"/>
        <v>1983209.4500000002</v>
      </c>
      <c r="J299" s="85">
        <f t="shared" si="83"/>
        <v>0.5204238762996759</v>
      </c>
      <c r="K299" s="85">
        <f t="shared" si="81"/>
        <v>6.8805952446080792E-3</v>
      </c>
      <c r="L299" s="86">
        <f>+I299-H299*50%</f>
        <v>77830.450000000186</v>
      </c>
    </row>
    <row r="300" spans="1:12" ht="27" customHeight="1" x14ac:dyDescent="0.25">
      <c r="A300" s="32"/>
      <c r="B300" s="44"/>
      <c r="C300" s="106" t="s">
        <v>382</v>
      </c>
      <c r="D300" s="88" t="s">
        <v>320</v>
      </c>
      <c r="E300" s="34"/>
      <c r="F300" s="89" t="s">
        <v>197</v>
      </c>
      <c r="G300" s="35">
        <v>1758247</v>
      </c>
      <c r="H300" s="35">
        <v>1699319</v>
      </c>
      <c r="I300" s="35">
        <v>784670.39</v>
      </c>
      <c r="J300" s="90">
        <f t="shared" si="83"/>
        <v>0.46175579158474661</v>
      </c>
      <c r="K300" s="90">
        <f t="shared" si="81"/>
        <v>2.7223545924606029E-3</v>
      </c>
      <c r="L300" s="36">
        <f t="shared" si="95"/>
        <v>-64989.109999999986</v>
      </c>
    </row>
    <row r="301" spans="1:12" ht="27" customHeight="1" x14ac:dyDescent="0.25">
      <c r="A301" s="32"/>
      <c r="B301" s="37"/>
      <c r="C301" s="106" t="s">
        <v>383</v>
      </c>
      <c r="D301" s="88" t="s">
        <v>320</v>
      </c>
      <c r="E301" s="34"/>
      <c r="F301" s="89" t="s">
        <v>197</v>
      </c>
      <c r="G301" s="35">
        <v>2259992</v>
      </c>
      <c r="H301" s="35">
        <v>2104639</v>
      </c>
      <c r="I301" s="35">
        <v>1198539.06</v>
      </c>
      <c r="J301" s="90">
        <f t="shared" si="83"/>
        <v>0.5694748885675881</v>
      </c>
      <c r="K301" s="90">
        <f t="shared" si="81"/>
        <v>4.1582406521474763E-3</v>
      </c>
      <c r="L301" s="36">
        <f t="shared" si="95"/>
        <v>146219.56000000006</v>
      </c>
    </row>
    <row r="302" spans="1:12" ht="22.5" x14ac:dyDescent="0.25">
      <c r="A302" s="32"/>
      <c r="B302" s="45"/>
      <c r="C302" s="106" t="s">
        <v>382</v>
      </c>
      <c r="D302" s="88" t="s">
        <v>323</v>
      </c>
      <c r="E302" s="34"/>
      <c r="F302" s="89" t="s">
        <v>8</v>
      </c>
      <c r="G302" s="35">
        <v>0</v>
      </c>
      <c r="H302" s="35">
        <v>6800</v>
      </c>
      <c r="I302" s="35">
        <v>0</v>
      </c>
      <c r="J302" s="90">
        <f t="shared" ref="J302" si="98">I302/H302</f>
        <v>0</v>
      </c>
      <c r="K302" s="90">
        <f t="shared" ref="K302" si="99">I302/$I$9</f>
        <v>0</v>
      </c>
      <c r="L302" s="36">
        <f t="shared" si="95"/>
        <v>-3400</v>
      </c>
    </row>
    <row r="303" spans="1:12" s="1" customFormat="1" x14ac:dyDescent="0.25">
      <c r="A303" s="31"/>
      <c r="B303" s="81">
        <v>80195</v>
      </c>
      <c r="C303" s="108"/>
      <c r="D303" s="82"/>
      <c r="E303" s="82"/>
      <c r="F303" s="83" t="s">
        <v>18</v>
      </c>
      <c r="G303" s="84">
        <f>+G304+G305+G306+G307+G308+G309</f>
        <v>686890</v>
      </c>
      <c r="H303" s="84">
        <f t="shared" ref="H303:I303" si="100">+H304+H305+H306+H307+H308+H309</f>
        <v>674082</v>
      </c>
      <c r="I303" s="84">
        <f t="shared" si="100"/>
        <v>285649.59999999998</v>
      </c>
      <c r="J303" s="85">
        <f t="shared" si="83"/>
        <v>0.42376090742669287</v>
      </c>
      <c r="K303" s="85">
        <f t="shared" si="81"/>
        <v>9.910396904291676E-4</v>
      </c>
      <c r="L303" s="86">
        <f>+I303-H303*50%</f>
        <v>-51391.400000000023</v>
      </c>
    </row>
    <row r="304" spans="1:12" ht="22.5" x14ac:dyDescent="0.25">
      <c r="A304" s="32"/>
      <c r="B304" s="44"/>
      <c r="C304" s="106" t="s">
        <v>382</v>
      </c>
      <c r="D304" s="88" t="s">
        <v>320</v>
      </c>
      <c r="E304" s="34"/>
      <c r="F304" s="89" t="s">
        <v>198</v>
      </c>
      <c r="G304" s="35">
        <v>30000</v>
      </c>
      <c r="H304" s="35">
        <v>30000</v>
      </c>
      <c r="I304" s="35">
        <v>28823</v>
      </c>
      <c r="J304" s="90">
        <f t="shared" si="83"/>
        <v>0.96076666666666666</v>
      </c>
      <c r="K304" s="90">
        <f t="shared" si="81"/>
        <v>9.9999219313592246E-5</v>
      </c>
      <c r="L304" s="36">
        <f t="shared" si="95"/>
        <v>13823</v>
      </c>
    </row>
    <row r="305" spans="1:12" ht="38.25" x14ac:dyDescent="0.25">
      <c r="A305" s="32"/>
      <c r="B305" s="37"/>
      <c r="C305" s="109" t="s">
        <v>384</v>
      </c>
      <c r="D305" s="88" t="s">
        <v>320</v>
      </c>
      <c r="E305" s="34"/>
      <c r="F305" s="89" t="s">
        <v>199</v>
      </c>
      <c r="G305" s="35">
        <v>424056</v>
      </c>
      <c r="H305" s="35">
        <v>416248</v>
      </c>
      <c r="I305" s="35">
        <v>195531.65</v>
      </c>
      <c r="J305" s="90">
        <f t="shared" si="83"/>
        <v>0.4697479627529742</v>
      </c>
      <c r="K305" s="90">
        <f t="shared" si="81"/>
        <v>6.7838227634522985E-4</v>
      </c>
      <c r="L305" s="36">
        <f t="shared" si="95"/>
        <v>-12592.350000000006</v>
      </c>
    </row>
    <row r="306" spans="1:12" ht="18" customHeight="1" x14ac:dyDescent="0.25">
      <c r="A306" s="32"/>
      <c r="B306" s="37"/>
      <c r="C306" s="39" t="s">
        <v>499</v>
      </c>
      <c r="D306" s="88" t="s">
        <v>320</v>
      </c>
      <c r="E306" s="34"/>
      <c r="F306" s="89" t="s">
        <v>200</v>
      </c>
      <c r="G306" s="35">
        <v>101535</v>
      </c>
      <c r="H306" s="35">
        <v>97535</v>
      </c>
      <c r="I306" s="35">
        <v>11294.95</v>
      </c>
      <c r="J306" s="90">
        <f t="shared" si="83"/>
        <v>0.11580407033372636</v>
      </c>
      <c r="K306" s="90">
        <f t="shared" si="81"/>
        <v>3.9186975061099083E-5</v>
      </c>
      <c r="L306" s="36">
        <f t="shared" si="95"/>
        <v>-37472.550000000003</v>
      </c>
    </row>
    <row r="307" spans="1:12" ht="18.75" customHeight="1" x14ac:dyDescent="0.25">
      <c r="A307" s="32"/>
      <c r="B307" s="37"/>
      <c r="C307" s="39" t="s">
        <v>499</v>
      </c>
      <c r="D307" s="88" t="s">
        <v>320</v>
      </c>
      <c r="E307" s="34"/>
      <c r="F307" s="89" t="s">
        <v>201</v>
      </c>
      <c r="G307" s="35">
        <v>47120</v>
      </c>
      <c r="H307" s="35">
        <v>47120</v>
      </c>
      <c r="I307" s="35">
        <v>0</v>
      </c>
      <c r="J307" s="90">
        <f t="shared" si="83"/>
        <v>0</v>
      </c>
      <c r="K307" s="90">
        <f t="shared" si="81"/>
        <v>0</v>
      </c>
      <c r="L307" s="36">
        <f t="shared" si="95"/>
        <v>-23560</v>
      </c>
    </row>
    <row r="308" spans="1:12" ht="43.5" customHeight="1" x14ac:dyDescent="0.25">
      <c r="A308" s="32"/>
      <c r="B308" s="37"/>
      <c r="C308" s="39" t="s">
        <v>499</v>
      </c>
      <c r="D308" s="88" t="s">
        <v>320</v>
      </c>
      <c r="E308" s="34"/>
      <c r="F308" s="89" t="s">
        <v>202</v>
      </c>
      <c r="G308" s="35">
        <v>55000</v>
      </c>
      <c r="H308" s="35">
        <v>55000</v>
      </c>
      <c r="I308" s="35">
        <v>50000</v>
      </c>
      <c r="J308" s="90">
        <f t="shared" si="83"/>
        <v>0.90909090909090906</v>
      </c>
      <c r="K308" s="90">
        <f t="shared" si="81"/>
        <v>1.734712197092465E-4</v>
      </c>
      <c r="L308" s="36">
        <f t="shared" si="95"/>
        <v>22500</v>
      </c>
    </row>
    <row r="309" spans="1:12" ht="31.5" customHeight="1" x14ac:dyDescent="0.25">
      <c r="A309" s="40"/>
      <c r="B309" s="38"/>
      <c r="C309" s="39" t="s">
        <v>499</v>
      </c>
      <c r="D309" s="88" t="s">
        <v>320</v>
      </c>
      <c r="E309" s="34"/>
      <c r="F309" s="89" t="s">
        <v>182</v>
      </c>
      <c r="G309" s="35">
        <v>29179</v>
      </c>
      <c r="H309" s="35">
        <v>28179</v>
      </c>
      <c r="I309" s="35">
        <v>0</v>
      </c>
      <c r="J309" s="90">
        <f t="shared" si="83"/>
        <v>0</v>
      </c>
      <c r="K309" s="90">
        <f t="shared" si="81"/>
        <v>0</v>
      </c>
      <c r="L309" s="36">
        <f t="shared" si="95"/>
        <v>-14089.5</v>
      </c>
    </row>
    <row r="310" spans="1:12" s="2" customFormat="1" ht="15.75" x14ac:dyDescent="0.25">
      <c r="A310" s="76" t="s">
        <v>203</v>
      </c>
      <c r="B310" s="77"/>
      <c r="C310" s="164" t="s">
        <v>204</v>
      </c>
      <c r="D310" s="164"/>
      <c r="E310" s="164"/>
      <c r="F310" s="165"/>
      <c r="G310" s="92">
        <f>+G311</f>
        <v>6649596</v>
      </c>
      <c r="H310" s="92">
        <f t="shared" ref="H310:I310" si="101">+H311</f>
        <v>6949596</v>
      </c>
      <c r="I310" s="92">
        <f t="shared" si="101"/>
        <v>945898.5</v>
      </c>
      <c r="J310" s="93">
        <f t="shared" si="83"/>
        <v>0.13610841551077213</v>
      </c>
      <c r="K310" s="93">
        <f t="shared" si="81"/>
        <v>3.2817233303229342E-3</v>
      </c>
      <c r="L310" s="103">
        <f>+I310-H310*50%</f>
        <v>-2528899.5</v>
      </c>
    </row>
    <row r="311" spans="1:12" s="1" customFormat="1" ht="21.75" customHeight="1" x14ac:dyDescent="0.25">
      <c r="A311" s="31"/>
      <c r="B311" s="81" t="s">
        <v>372</v>
      </c>
      <c r="C311" s="82"/>
      <c r="D311" s="82"/>
      <c r="E311" s="82"/>
      <c r="F311" s="83" t="s">
        <v>18</v>
      </c>
      <c r="G311" s="84">
        <f>+G312+G313+G314+G315</f>
        <v>6649596</v>
      </c>
      <c r="H311" s="84">
        <f t="shared" ref="H311:I311" si="102">+H312+H313+H314+H315</f>
        <v>6949596</v>
      </c>
      <c r="I311" s="84">
        <f t="shared" si="102"/>
        <v>945898.5</v>
      </c>
      <c r="J311" s="85">
        <f t="shared" si="83"/>
        <v>0.13610841551077213</v>
      </c>
      <c r="K311" s="85">
        <f t="shared" si="81"/>
        <v>3.2817233303229342E-3</v>
      </c>
      <c r="L311" s="86">
        <f>+I311-H311*50%</f>
        <v>-2528899.5</v>
      </c>
    </row>
    <row r="312" spans="1:12" ht="18.75" customHeight="1" x14ac:dyDescent="0.25">
      <c r="A312" s="32"/>
      <c r="B312" s="44"/>
      <c r="C312" s="39" t="s">
        <v>499</v>
      </c>
      <c r="D312" s="88" t="s">
        <v>320</v>
      </c>
      <c r="E312" s="34"/>
      <c r="F312" s="89" t="s">
        <v>205</v>
      </c>
      <c r="G312" s="35">
        <v>6149596</v>
      </c>
      <c r="H312" s="35">
        <v>5549596</v>
      </c>
      <c r="I312" s="35">
        <v>335000</v>
      </c>
      <c r="J312" s="90">
        <f t="shared" si="83"/>
        <v>6.0364754479425166E-2</v>
      </c>
      <c r="K312" s="90">
        <f t="shared" si="81"/>
        <v>1.1622571720519516E-3</v>
      </c>
      <c r="L312" s="36">
        <f t="shared" ref="L312:L315" si="103">+I312-H312*50%</f>
        <v>-2439798</v>
      </c>
    </row>
    <row r="313" spans="1:12" ht="18.75" customHeight="1" x14ac:dyDescent="0.25">
      <c r="A313" s="32"/>
      <c r="B313" s="37"/>
      <c r="C313" s="39" t="s">
        <v>499</v>
      </c>
      <c r="D313" s="88" t="s">
        <v>320</v>
      </c>
      <c r="E313" s="34"/>
      <c r="F313" s="89" t="s">
        <v>525</v>
      </c>
      <c r="G313" s="35">
        <v>0</v>
      </c>
      <c r="H313" s="35">
        <v>300000</v>
      </c>
      <c r="I313" s="35">
        <v>300000</v>
      </c>
      <c r="J313" s="90">
        <f t="shared" ref="J313" si="104">I313/H313</f>
        <v>1</v>
      </c>
      <c r="K313" s="90">
        <f t="shared" ref="K313" si="105">I313/$I$9</f>
        <v>1.0408273182554791E-3</v>
      </c>
      <c r="L313" s="36">
        <f t="shared" si="103"/>
        <v>150000</v>
      </c>
    </row>
    <row r="314" spans="1:12" ht="29.25" customHeight="1" x14ac:dyDescent="0.25">
      <c r="A314" s="32"/>
      <c r="B314" s="37"/>
      <c r="C314" s="39" t="s">
        <v>499</v>
      </c>
      <c r="D314" s="88" t="s">
        <v>323</v>
      </c>
      <c r="E314" s="34"/>
      <c r="F314" s="89" t="s">
        <v>206</v>
      </c>
      <c r="G314" s="35">
        <v>0</v>
      </c>
      <c r="H314" s="35">
        <v>600000</v>
      </c>
      <c r="I314" s="35">
        <v>300000</v>
      </c>
      <c r="J314" s="90">
        <f t="shared" si="83"/>
        <v>0.5</v>
      </c>
      <c r="K314" s="90">
        <f t="shared" si="81"/>
        <v>1.0408273182554791E-3</v>
      </c>
      <c r="L314" s="36">
        <f t="shared" si="103"/>
        <v>0</v>
      </c>
    </row>
    <row r="315" spans="1:12" ht="18.75" customHeight="1" x14ac:dyDescent="0.25">
      <c r="A315" s="40"/>
      <c r="B315" s="38"/>
      <c r="C315" s="39" t="s">
        <v>502</v>
      </c>
      <c r="D315" s="88" t="s">
        <v>320</v>
      </c>
      <c r="E315" s="34"/>
      <c r="F315" s="89" t="s">
        <v>207</v>
      </c>
      <c r="G315" s="35">
        <v>500000</v>
      </c>
      <c r="H315" s="35">
        <v>500000</v>
      </c>
      <c r="I315" s="35">
        <v>10898.5</v>
      </c>
      <c r="J315" s="90">
        <f t="shared" si="83"/>
        <v>2.1797E-2</v>
      </c>
      <c r="K315" s="90">
        <f t="shared" si="81"/>
        <v>3.7811521760024462E-5</v>
      </c>
      <c r="L315" s="36">
        <f t="shared" si="103"/>
        <v>-239101.5</v>
      </c>
    </row>
    <row r="316" spans="1:12" s="2" customFormat="1" ht="15.75" x14ac:dyDescent="0.25">
      <c r="A316" s="76" t="s">
        <v>208</v>
      </c>
      <c r="B316" s="77"/>
      <c r="C316" s="164" t="s">
        <v>209</v>
      </c>
      <c r="D316" s="164"/>
      <c r="E316" s="164"/>
      <c r="F316" s="165"/>
      <c r="G316" s="92">
        <f>+G317+G323+G325+G327+G329+G331+G334+G336+G338+G340+G344</f>
        <v>40781082</v>
      </c>
      <c r="H316" s="92">
        <f t="shared" ref="H316:I316" si="106">+H317+H323+H325+H327+H329+H331+H334+H336+H338+H340+H344</f>
        <v>42506014</v>
      </c>
      <c r="I316" s="92">
        <f t="shared" si="106"/>
        <v>8653053.0899999999</v>
      </c>
      <c r="J316" s="93">
        <f t="shared" si="83"/>
        <v>0.20357244247837494</v>
      </c>
      <c r="K316" s="93">
        <f t="shared" si="81"/>
        <v>3.0021113474623287E-2</v>
      </c>
      <c r="L316" s="103">
        <f>+I316-H316*50%</f>
        <v>-12599953.91</v>
      </c>
    </row>
    <row r="317" spans="1:12" s="1" customFormat="1" x14ac:dyDescent="0.25">
      <c r="A317" s="31"/>
      <c r="B317" s="81">
        <v>85111</v>
      </c>
      <c r="C317" s="82"/>
      <c r="D317" s="82"/>
      <c r="E317" s="82"/>
      <c r="F317" s="83" t="s">
        <v>210</v>
      </c>
      <c r="G317" s="84">
        <f>+G318+G319+G320+G321+G322</f>
        <v>33363897</v>
      </c>
      <c r="H317" s="84">
        <f t="shared" ref="H317:I317" si="107">+H318+H319+H320+H321+H322</f>
        <v>35288897</v>
      </c>
      <c r="I317" s="84">
        <f t="shared" si="107"/>
        <v>5671262.8300000001</v>
      </c>
      <c r="J317" s="85">
        <f t="shared" si="83"/>
        <v>0.16070955207242663</v>
      </c>
      <c r="K317" s="85">
        <f t="shared" si="81"/>
        <v>1.9676017608236264E-2</v>
      </c>
      <c r="L317" s="86">
        <f>+I317-H317*50%</f>
        <v>-11973185.67</v>
      </c>
    </row>
    <row r="318" spans="1:12" ht="30" customHeight="1" x14ac:dyDescent="0.25">
      <c r="A318" s="32"/>
      <c r="B318" s="44"/>
      <c r="C318" s="39" t="s">
        <v>503</v>
      </c>
      <c r="D318" s="88" t="s">
        <v>323</v>
      </c>
      <c r="E318" s="34"/>
      <c r="F318" s="89" t="s">
        <v>211</v>
      </c>
      <c r="G318" s="35">
        <v>300000</v>
      </c>
      <c r="H318" s="35">
        <v>200000</v>
      </c>
      <c r="I318" s="35">
        <v>93910.5</v>
      </c>
      <c r="J318" s="90">
        <f t="shared" si="83"/>
        <v>0.46955249999999998</v>
      </c>
      <c r="K318" s="90">
        <f t="shared" si="81"/>
        <v>3.2581537957010389E-4</v>
      </c>
      <c r="L318" s="36">
        <f t="shared" ref="L318:L347" si="108">+I318-H318*50%</f>
        <v>-6089.5</v>
      </c>
    </row>
    <row r="319" spans="1:12" ht="30" customHeight="1" x14ac:dyDescent="0.25">
      <c r="A319" s="32"/>
      <c r="B319" s="37"/>
      <c r="C319" s="39" t="s">
        <v>503</v>
      </c>
      <c r="D319" s="88" t="s">
        <v>323</v>
      </c>
      <c r="E319" s="34"/>
      <c r="F319" s="89" t="s">
        <v>212</v>
      </c>
      <c r="G319" s="35">
        <v>14500000</v>
      </c>
      <c r="H319" s="35">
        <v>14500000</v>
      </c>
      <c r="I319" s="35">
        <v>987645.95</v>
      </c>
      <c r="J319" s="90">
        <f t="shared" si="83"/>
        <v>6.8113513793103445E-2</v>
      </c>
      <c r="K319" s="90">
        <f t="shared" si="81"/>
        <v>3.4265629517479497E-3</v>
      </c>
      <c r="L319" s="36">
        <f t="shared" si="108"/>
        <v>-6262354.0499999998</v>
      </c>
    </row>
    <row r="320" spans="1:12" ht="25.5" x14ac:dyDescent="0.25">
      <c r="A320" s="32"/>
      <c r="B320" s="37"/>
      <c r="C320" s="39" t="s">
        <v>503</v>
      </c>
      <c r="D320" s="88" t="s">
        <v>323</v>
      </c>
      <c r="E320" s="34" t="s">
        <v>390</v>
      </c>
      <c r="F320" s="89" t="s">
        <v>460</v>
      </c>
      <c r="G320" s="35">
        <v>4786925</v>
      </c>
      <c r="H320" s="35">
        <v>6811925</v>
      </c>
      <c r="I320" s="35">
        <v>632251.38</v>
      </c>
      <c r="J320" s="90">
        <f t="shared" si="83"/>
        <v>9.2815375976687944E-2</v>
      </c>
      <c r="K320" s="90">
        <f t="shared" si="81"/>
        <v>2.193548361029086E-3</v>
      </c>
      <c r="L320" s="36">
        <f t="shared" si="108"/>
        <v>-2773711.12</v>
      </c>
    </row>
    <row r="321" spans="1:12" ht="54.75" customHeight="1" x14ac:dyDescent="0.25">
      <c r="A321" s="32"/>
      <c r="B321" s="37"/>
      <c r="C321" s="39" t="s">
        <v>503</v>
      </c>
      <c r="D321" s="88" t="s">
        <v>323</v>
      </c>
      <c r="E321" s="34" t="s">
        <v>390</v>
      </c>
      <c r="F321" s="89" t="s">
        <v>461</v>
      </c>
      <c r="G321" s="35">
        <v>3104472</v>
      </c>
      <c r="H321" s="35">
        <v>3104472</v>
      </c>
      <c r="I321" s="35">
        <v>0</v>
      </c>
      <c r="J321" s="90">
        <f t="shared" si="83"/>
        <v>0</v>
      </c>
      <c r="K321" s="90">
        <f t="shared" si="81"/>
        <v>0</v>
      </c>
      <c r="L321" s="36">
        <f t="shared" si="108"/>
        <v>-1552236</v>
      </c>
    </row>
    <row r="322" spans="1:12" ht="38.25" x14ac:dyDescent="0.25">
      <c r="A322" s="32"/>
      <c r="B322" s="38"/>
      <c r="C322" s="39" t="s">
        <v>503</v>
      </c>
      <c r="D322" s="88" t="s">
        <v>323</v>
      </c>
      <c r="E322" s="34" t="s">
        <v>390</v>
      </c>
      <c r="F322" s="89" t="s">
        <v>462</v>
      </c>
      <c r="G322" s="35">
        <v>10672500</v>
      </c>
      <c r="H322" s="35">
        <v>10672500</v>
      </c>
      <c r="I322" s="35">
        <v>3957455</v>
      </c>
      <c r="J322" s="90">
        <f t="shared" si="83"/>
        <v>0.37080862028578121</v>
      </c>
      <c r="K322" s="90">
        <f t="shared" si="81"/>
        <v>1.3730090915889124E-2</v>
      </c>
      <c r="L322" s="36">
        <f t="shared" si="108"/>
        <v>-1378795</v>
      </c>
    </row>
    <row r="323" spans="1:12" s="1" customFormat="1" ht="32.25" customHeight="1" x14ac:dyDescent="0.25">
      <c r="A323" s="32"/>
      <c r="B323" s="81">
        <v>85117</v>
      </c>
      <c r="C323" s="82"/>
      <c r="D323" s="82"/>
      <c r="E323" s="82"/>
      <c r="F323" s="83" t="s">
        <v>213</v>
      </c>
      <c r="G323" s="84">
        <f>+G324</f>
        <v>150000</v>
      </c>
      <c r="H323" s="84">
        <f t="shared" ref="H323:I323" si="109">+H324</f>
        <v>150000</v>
      </c>
      <c r="I323" s="84">
        <f t="shared" si="109"/>
        <v>0</v>
      </c>
      <c r="J323" s="85">
        <f t="shared" si="83"/>
        <v>0</v>
      </c>
      <c r="K323" s="85">
        <f t="shared" si="81"/>
        <v>0</v>
      </c>
      <c r="L323" s="86">
        <f>+I323-H323*50%</f>
        <v>-75000</v>
      </c>
    </row>
    <row r="324" spans="1:12" ht="25.5" x14ac:dyDescent="0.25">
      <c r="A324" s="32"/>
      <c r="B324" s="33"/>
      <c r="C324" s="39" t="s">
        <v>503</v>
      </c>
      <c r="D324" s="34" t="s">
        <v>323</v>
      </c>
      <c r="E324" s="34"/>
      <c r="F324" s="89" t="s">
        <v>212</v>
      </c>
      <c r="G324" s="35">
        <v>150000</v>
      </c>
      <c r="H324" s="35">
        <v>150000</v>
      </c>
      <c r="I324" s="35">
        <v>0</v>
      </c>
      <c r="J324" s="90">
        <f t="shared" si="83"/>
        <v>0</v>
      </c>
      <c r="K324" s="90">
        <f t="shared" si="81"/>
        <v>0</v>
      </c>
      <c r="L324" s="36">
        <f t="shared" si="108"/>
        <v>-75000</v>
      </c>
    </row>
    <row r="325" spans="1:12" s="1" customFormat="1" x14ac:dyDescent="0.25">
      <c r="A325" s="31"/>
      <c r="B325" s="81">
        <v>85118</v>
      </c>
      <c r="C325" s="82"/>
      <c r="D325" s="82"/>
      <c r="E325" s="82"/>
      <c r="F325" s="83" t="s">
        <v>214</v>
      </c>
      <c r="G325" s="84">
        <f>+G326</f>
        <v>210000</v>
      </c>
      <c r="H325" s="84">
        <f t="shared" ref="H325:I325" si="110">+H326</f>
        <v>210000</v>
      </c>
      <c r="I325" s="84">
        <f t="shared" si="110"/>
        <v>0</v>
      </c>
      <c r="J325" s="85">
        <f t="shared" si="83"/>
        <v>0</v>
      </c>
      <c r="K325" s="85">
        <f t="shared" si="81"/>
        <v>0</v>
      </c>
      <c r="L325" s="86">
        <f>+I325-H325*50%</f>
        <v>-105000</v>
      </c>
    </row>
    <row r="326" spans="1:12" ht="29.25" customHeight="1" x14ac:dyDescent="0.25">
      <c r="A326" s="32"/>
      <c r="B326" s="33"/>
      <c r="C326" s="39" t="s">
        <v>503</v>
      </c>
      <c r="D326" s="34" t="s">
        <v>323</v>
      </c>
      <c r="E326" s="34"/>
      <c r="F326" s="89" t="s">
        <v>212</v>
      </c>
      <c r="G326" s="35">
        <v>210000</v>
      </c>
      <c r="H326" s="35">
        <v>210000</v>
      </c>
      <c r="I326" s="35">
        <v>0</v>
      </c>
      <c r="J326" s="90">
        <f t="shared" si="83"/>
        <v>0</v>
      </c>
      <c r="K326" s="90">
        <f t="shared" si="81"/>
        <v>0</v>
      </c>
      <c r="L326" s="36">
        <f t="shared" si="108"/>
        <v>-105000</v>
      </c>
    </row>
    <row r="327" spans="1:12" s="1" customFormat="1" ht="19.5" customHeight="1" x14ac:dyDescent="0.25">
      <c r="A327" s="31"/>
      <c r="B327" s="81">
        <v>85121</v>
      </c>
      <c r="C327" s="82"/>
      <c r="D327" s="82"/>
      <c r="E327" s="82"/>
      <c r="F327" s="83" t="s">
        <v>215</v>
      </c>
      <c r="G327" s="84">
        <f>+G328</f>
        <v>41456</v>
      </c>
      <c r="H327" s="84">
        <f t="shared" ref="H327:I327" si="111">+H328</f>
        <v>41456</v>
      </c>
      <c r="I327" s="84">
        <f t="shared" si="111"/>
        <v>31091.22</v>
      </c>
      <c r="J327" s="85">
        <f t="shared" si="83"/>
        <v>0.74998118487070631</v>
      </c>
      <c r="K327" s="85">
        <f t="shared" si="81"/>
        <v>1.0786863711297039E-4</v>
      </c>
      <c r="L327" s="86">
        <f>+I327-H327*50%</f>
        <v>10363.220000000001</v>
      </c>
    </row>
    <row r="328" spans="1:12" ht="18" customHeight="1" x14ac:dyDescent="0.25">
      <c r="A328" s="32"/>
      <c r="B328" s="33"/>
      <c r="C328" s="39" t="s">
        <v>503</v>
      </c>
      <c r="D328" s="88" t="s">
        <v>320</v>
      </c>
      <c r="E328" s="34"/>
      <c r="F328" s="89" t="s">
        <v>216</v>
      </c>
      <c r="G328" s="35">
        <v>41456</v>
      </c>
      <c r="H328" s="35">
        <v>41456</v>
      </c>
      <c r="I328" s="35">
        <v>31091.22</v>
      </c>
      <c r="J328" s="90">
        <f t="shared" si="83"/>
        <v>0.74998118487070631</v>
      </c>
      <c r="K328" s="90">
        <f t="shared" si="81"/>
        <v>1.0786863711297039E-4</v>
      </c>
      <c r="L328" s="36">
        <f t="shared" si="108"/>
        <v>10363.220000000001</v>
      </c>
    </row>
    <row r="329" spans="1:12" s="1" customFormat="1" x14ac:dyDescent="0.25">
      <c r="A329" s="31"/>
      <c r="B329" s="81">
        <v>85148</v>
      </c>
      <c r="C329" s="82"/>
      <c r="D329" s="82"/>
      <c r="E329" s="82"/>
      <c r="F329" s="83" t="s">
        <v>217</v>
      </c>
      <c r="G329" s="84">
        <f>+G330</f>
        <v>5500000</v>
      </c>
      <c r="H329" s="84">
        <f t="shared" ref="H329:I329" si="112">+H330</f>
        <v>5500000</v>
      </c>
      <c r="I329" s="84">
        <f t="shared" si="112"/>
        <v>2576957.2999999998</v>
      </c>
      <c r="J329" s="85">
        <f t="shared" si="83"/>
        <v>0.46853769090909086</v>
      </c>
      <c r="K329" s="85">
        <f t="shared" si="81"/>
        <v>8.9405585193929327E-3</v>
      </c>
      <c r="L329" s="86">
        <f>+I329-H329*50%</f>
        <v>-173042.70000000019</v>
      </c>
    </row>
    <row r="330" spans="1:12" ht="15" customHeight="1" x14ac:dyDescent="0.25">
      <c r="A330" s="32"/>
      <c r="B330" s="33"/>
      <c r="C330" s="39" t="s">
        <v>503</v>
      </c>
      <c r="D330" s="88" t="s">
        <v>320</v>
      </c>
      <c r="E330" s="107"/>
      <c r="F330" s="89" t="s">
        <v>218</v>
      </c>
      <c r="G330" s="35">
        <v>5500000</v>
      </c>
      <c r="H330" s="35">
        <v>5500000</v>
      </c>
      <c r="I330" s="35">
        <v>2576957.2999999998</v>
      </c>
      <c r="J330" s="90">
        <f t="shared" si="83"/>
        <v>0.46853769090909086</v>
      </c>
      <c r="K330" s="90">
        <f t="shared" si="81"/>
        <v>8.9405585193929327E-3</v>
      </c>
      <c r="L330" s="36">
        <f t="shared" si="108"/>
        <v>-173042.70000000019</v>
      </c>
    </row>
    <row r="331" spans="1:12" s="1" customFormat="1" ht="21.75" customHeight="1" x14ac:dyDescent="0.25">
      <c r="A331" s="31"/>
      <c r="B331" s="81" t="s">
        <v>373</v>
      </c>
      <c r="C331" s="82"/>
      <c r="D331" s="82"/>
      <c r="E331" s="82"/>
      <c r="F331" s="83" t="s">
        <v>219</v>
      </c>
      <c r="G331" s="84">
        <f>+G332+G333</f>
        <v>700000</v>
      </c>
      <c r="H331" s="84">
        <f t="shared" ref="H331:I331" si="113">+H332+H333</f>
        <v>500000</v>
      </c>
      <c r="I331" s="84">
        <f t="shared" si="113"/>
        <v>50000</v>
      </c>
      <c r="J331" s="85">
        <f t="shared" si="83"/>
        <v>0.1</v>
      </c>
      <c r="K331" s="85">
        <f t="shared" si="81"/>
        <v>1.734712197092465E-4</v>
      </c>
      <c r="L331" s="86">
        <f>+I331-H331*50%</f>
        <v>-200000</v>
      </c>
    </row>
    <row r="332" spans="1:12" ht="30" customHeight="1" x14ac:dyDescent="0.25">
      <c r="A332" s="32"/>
      <c r="B332" s="167"/>
      <c r="C332" s="39" t="s">
        <v>503</v>
      </c>
      <c r="D332" s="88" t="s">
        <v>320</v>
      </c>
      <c r="E332" s="34"/>
      <c r="F332" s="89" t="s">
        <v>220</v>
      </c>
      <c r="G332" s="35">
        <v>500000</v>
      </c>
      <c r="H332" s="35">
        <v>500000</v>
      </c>
      <c r="I332" s="35">
        <v>50000</v>
      </c>
      <c r="J332" s="90">
        <f t="shared" si="83"/>
        <v>0.1</v>
      </c>
      <c r="K332" s="90">
        <f t="shared" si="81"/>
        <v>1.734712197092465E-4</v>
      </c>
      <c r="L332" s="36">
        <f t="shared" si="108"/>
        <v>-200000</v>
      </c>
    </row>
    <row r="333" spans="1:12" ht="18.75" customHeight="1" x14ac:dyDescent="0.25">
      <c r="A333" s="32"/>
      <c r="B333" s="168"/>
      <c r="C333" s="39" t="s">
        <v>503</v>
      </c>
      <c r="D333" s="88" t="s">
        <v>320</v>
      </c>
      <c r="E333" s="34"/>
      <c r="F333" s="89" t="s">
        <v>219</v>
      </c>
      <c r="G333" s="35">
        <v>200000</v>
      </c>
      <c r="H333" s="35">
        <v>0</v>
      </c>
      <c r="I333" s="35">
        <v>0</v>
      </c>
      <c r="J333" s="90"/>
      <c r="K333" s="90">
        <f t="shared" si="81"/>
        <v>0</v>
      </c>
      <c r="L333" s="36">
        <f t="shared" si="108"/>
        <v>0</v>
      </c>
    </row>
    <row r="334" spans="1:12" s="1" customFormat="1" x14ac:dyDescent="0.25">
      <c r="A334" s="31"/>
      <c r="B334" s="81">
        <v>85152</v>
      </c>
      <c r="C334" s="82"/>
      <c r="D334" s="82"/>
      <c r="E334" s="82"/>
      <c r="F334" s="83" t="s">
        <v>221</v>
      </c>
      <c r="G334" s="84">
        <f>+G335</f>
        <v>60000</v>
      </c>
      <c r="H334" s="84">
        <f t="shared" ref="H334:I334" si="114">+H335</f>
        <v>60000</v>
      </c>
      <c r="I334" s="84">
        <f t="shared" si="114"/>
        <v>0</v>
      </c>
      <c r="J334" s="85">
        <f t="shared" si="83"/>
        <v>0</v>
      </c>
      <c r="K334" s="85">
        <f t="shared" si="81"/>
        <v>0</v>
      </c>
      <c r="L334" s="86">
        <f>+I334-H334*50%</f>
        <v>-30000</v>
      </c>
    </row>
    <row r="335" spans="1:12" ht="30.75" customHeight="1" x14ac:dyDescent="0.25">
      <c r="A335" s="32"/>
      <c r="B335" s="33"/>
      <c r="C335" s="39" t="s">
        <v>503</v>
      </c>
      <c r="D335" s="88" t="s">
        <v>320</v>
      </c>
      <c r="E335" s="34"/>
      <c r="F335" s="89" t="s">
        <v>220</v>
      </c>
      <c r="G335" s="35">
        <v>60000</v>
      </c>
      <c r="H335" s="35">
        <v>60000</v>
      </c>
      <c r="I335" s="35">
        <v>0</v>
      </c>
      <c r="J335" s="90">
        <f t="shared" si="83"/>
        <v>0</v>
      </c>
      <c r="K335" s="90">
        <f t="shared" si="81"/>
        <v>0</v>
      </c>
      <c r="L335" s="36">
        <f t="shared" si="108"/>
        <v>-30000</v>
      </c>
    </row>
    <row r="336" spans="1:12" s="1" customFormat="1" x14ac:dyDescent="0.25">
      <c r="A336" s="31"/>
      <c r="B336" s="81">
        <v>85153</v>
      </c>
      <c r="C336" s="82"/>
      <c r="D336" s="82"/>
      <c r="E336" s="82"/>
      <c r="F336" s="83" t="s">
        <v>222</v>
      </c>
      <c r="G336" s="84">
        <f>+G337</f>
        <v>30000</v>
      </c>
      <c r="H336" s="84">
        <f t="shared" ref="H336:I336" si="115">+H337</f>
        <v>30000</v>
      </c>
      <c r="I336" s="84">
        <f t="shared" si="115"/>
        <v>0</v>
      </c>
      <c r="J336" s="85">
        <f t="shared" si="83"/>
        <v>0</v>
      </c>
      <c r="K336" s="85">
        <f t="shared" si="81"/>
        <v>0</v>
      </c>
      <c r="L336" s="86">
        <f>+I336-H336*50%</f>
        <v>-15000</v>
      </c>
    </row>
    <row r="337" spans="1:12" ht="18.75" customHeight="1" x14ac:dyDescent="0.25">
      <c r="A337" s="40"/>
      <c r="B337" s="132"/>
      <c r="C337" s="39" t="s">
        <v>354</v>
      </c>
      <c r="D337" s="88" t="s">
        <v>320</v>
      </c>
      <c r="E337" s="34"/>
      <c r="F337" s="89" t="s">
        <v>223</v>
      </c>
      <c r="G337" s="35">
        <v>30000</v>
      </c>
      <c r="H337" s="35">
        <v>30000</v>
      </c>
      <c r="I337" s="35">
        <v>0</v>
      </c>
      <c r="J337" s="90">
        <f t="shared" si="83"/>
        <v>0</v>
      </c>
      <c r="K337" s="90">
        <f t="shared" si="81"/>
        <v>0</v>
      </c>
      <c r="L337" s="36">
        <f t="shared" si="108"/>
        <v>-15000</v>
      </c>
    </row>
    <row r="338" spans="1:12" s="1" customFormat="1" x14ac:dyDescent="0.25">
      <c r="A338" s="31"/>
      <c r="B338" s="104">
        <v>85154</v>
      </c>
      <c r="C338" s="82"/>
      <c r="D338" s="82"/>
      <c r="E338" s="82"/>
      <c r="F338" s="83" t="s">
        <v>224</v>
      </c>
      <c r="G338" s="84">
        <f>+G339</f>
        <v>601000</v>
      </c>
      <c r="H338" s="84">
        <f t="shared" ref="H338:I338" si="116">+H339</f>
        <v>601000</v>
      </c>
      <c r="I338" s="84">
        <f t="shared" si="116"/>
        <v>277239.51</v>
      </c>
      <c r="J338" s="85">
        <f t="shared" si="83"/>
        <v>0.46129702163061564</v>
      </c>
      <c r="K338" s="85">
        <f t="shared" si="81"/>
        <v>9.6186151902587691E-4</v>
      </c>
      <c r="L338" s="86">
        <f>+I338-H338*50%</f>
        <v>-23260.489999999991</v>
      </c>
    </row>
    <row r="339" spans="1:12" ht="21" customHeight="1" x14ac:dyDescent="0.25">
      <c r="A339" s="32"/>
      <c r="B339" s="33"/>
      <c r="C339" s="39" t="s">
        <v>354</v>
      </c>
      <c r="D339" s="88" t="s">
        <v>320</v>
      </c>
      <c r="E339" s="34"/>
      <c r="F339" s="89" t="s">
        <v>223</v>
      </c>
      <c r="G339" s="35">
        <v>601000</v>
      </c>
      <c r="H339" s="35">
        <v>601000</v>
      </c>
      <c r="I339" s="35">
        <v>277239.51</v>
      </c>
      <c r="J339" s="90">
        <f t="shared" si="83"/>
        <v>0.46129702163061564</v>
      </c>
      <c r="K339" s="90">
        <f t="shared" ref="K339:K405" si="117">I339/$I$9</f>
        <v>9.6186151902587691E-4</v>
      </c>
      <c r="L339" s="36">
        <f t="shared" si="108"/>
        <v>-23260.489999999991</v>
      </c>
    </row>
    <row r="340" spans="1:12" s="1" customFormat="1" ht="45.75" customHeight="1" x14ac:dyDescent="0.25">
      <c r="A340" s="31"/>
      <c r="B340" s="81">
        <v>85156</v>
      </c>
      <c r="C340" s="82"/>
      <c r="D340" s="82"/>
      <c r="E340" s="82"/>
      <c r="F340" s="83" t="s">
        <v>225</v>
      </c>
      <c r="G340" s="84">
        <f>+G341+G342+G343</f>
        <v>13729</v>
      </c>
      <c r="H340" s="84">
        <f t="shared" ref="H340:I340" si="118">+H341+H342+H343</f>
        <v>13661</v>
      </c>
      <c r="I340" s="84">
        <f t="shared" si="118"/>
        <v>6738.8</v>
      </c>
      <c r="J340" s="85">
        <f t="shared" si="83"/>
        <v>0.4932874606544177</v>
      </c>
      <c r="K340" s="85">
        <f t="shared" si="117"/>
        <v>2.3379757107533409E-5</v>
      </c>
      <c r="L340" s="86">
        <f>+I340-H340*50%</f>
        <v>-91.699999999999818</v>
      </c>
    </row>
    <row r="341" spans="1:12" ht="42.75" customHeight="1" x14ac:dyDescent="0.25">
      <c r="A341" s="32"/>
      <c r="B341" s="44"/>
      <c r="C341" s="106" t="s">
        <v>381</v>
      </c>
      <c r="D341" s="88" t="s">
        <v>320</v>
      </c>
      <c r="E341" s="34"/>
      <c r="F341" s="89" t="s">
        <v>526</v>
      </c>
      <c r="G341" s="35">
        <v>1367</v>
      </c>
      <c r="H341" s="35">
        <v>1299</v>
      </c>
      <c r="I341" s="35">
        <v>468</v>
      </c>
      <c r="J341" s="90">
        <f t="shared" si="83"/>
        <v>0.36027713625866054</v>
      </c>
      <c r="K341" s="90">
        <f t="shared" si="117"/>
        <v>1.6236906164785474E-6</v>
      </c>
      <c r="L341" s="36">
        <f t="shared" si="108"/>
        <v>-181.5</v>
      </c>
    </row>
    <row r="342" spans="1:12" ht="42.75" customHeight="1" x14ac:dyDescent="0.25">
      <c r="A342" s="32"/>
      <c r="B342" s="37"/>
      <c r="C342" s="106" t="s">
        <v>527</v>
      </c>
      <c r="D342" s="88" t="s">
        <v>320</v>
      </c>
      <c r="E342" s="34"/>
      <c r="F342" s="89" t="s">
        <v>526</v>
      </c>
      <c r="G342" s="35">
        <v>1130</v>
      </c>
      <c r="H342" s="35">
        <v>1130</v>
      </c>
      <c r="I342" s="35">
        <v>327.60000000000002</v>
      </c>
      <c r="J342" s="90">
        <f t="shared" ref="J342:J343" si="119">I342/H342</f>
        <v>0.28991150442477875</v>
      </c>
      <c r="K342" s="90">
        <f t="shared" ref="K342:K343" si="120">I342/$I$9</f>
        <v>1.1365834315349832E-6</v>
      </c>
      <c r="L342" s="36">
        <f t="shared" si="108"/>
        <v>-237.39999999999998</v>
      </c>
    </row>
    <row r="343" spans="1:12" ht="42.75" customHeight="1" x14ac:dyDescent="0.25">
      <c r="A343" s="32"/>
      <c r="B343" s="45"/>
      <c r="C343" s="106" t="s">
        <v>380</v>
      </c>
      <c r="D343" s="88" t="s">
        <v>320</v>
      </c>
      <c r="E343" s="34"/>
      <c r="F343" s="89" t="s">
        <v>526</v>
      </c>
      <c r="G343" s="35">
        <v>11232</v>
      </c>
      <c r="H343" s="35">
        <v>11232</v>
      </c>
      <c r="I343" s="35">
        <v>5943.2</v>
      </c>
      <c r="J343" s="90">
        <f t="shared" si="119"/>
        <v>0.5291310541310541</v>
      </c>
      <c r="K343" s="90">
        <f t="shared" si="120"/>
        <v>2.0619483059519879E-5</v>
      </c>
      <c r="L343" s="36">
        <f t="shared" si="108"/>
        <v>327.19999999999982</v>
      </c>
    </row>
    <row r="344" spans="1:12" s="1" customFormat="1" ht="21" customHeight="1" x14ac:dyDescent="0.25">
      <c r="A344" s="31"/>
      <c r="B344" s="81" t="s">
        <v>385</v>
      </c>
      <c r="C344" s="82"/>
      <c r="D344" s="82"/>
      <c r="E344" s="82"/>
      <c r="F344" s="83" t="s">
        <v>18</v>
      </c>
      <c r="G344" s="84">
        <f>SUM(G345:G347)</f>
        <v>111000</v>
      </c>
      <c r="H344" s="84">
        <f t="shared" ref="H344:I344" si="121">SUM(H345:H347)</f>
        <v>111000</v>
      </c>
      <c r="I344" s="84">
        <f t="shared" si="121"/>
        <v>39763.43</v>
      </c>
      <c r="J344" s="85">
        <f t="shared" si="83"/>
        <v>0.35822909909909911</v>
      </c>
      <c r="K344" s="85">
        <f t="shared" si="117"/>
        <v>1.3795621403846488E-4</v>
      </c>
      <c r="L344" s="84">
        <f t="shared" ref="L344" si="122">SUM(L345:L347)</f>
        <v>-15736.57</v>
      </c>
    </row>
    <row r="345" spans="1:12" ht="15" x14ac:dyDescent="0.25">
      <c r="A345" s="32"/>
      <c r="B345" s="44"/>
      <c r="C345" s="39" t="s">
        <v>503</v>
      </c>
      <c r="D345" s="88" t="s">
        <v>320</v>
      </c>
      <c r="E345" s="34"/>
      <c r="F345" s="89" t="s">
        <v>226</v>
      </c>
      <c r="G345" s="35">
        <v>50000</v>
      </c>
      <c r="H345" s="35">
        <v>50000</v>
      </c>
      <c r="I345" s="35">
        <v>22203.43</v>
      </c>
      <c r="J345" s="90">
        <f t="shared" si="83"/>
        <v>0.44406859999999998</v>
      </c>
      <c r="K345" s="90">
        <f t="shared" si="117"/>
        <v>7.7033121676577511E-5</v>
      </c>
      <c r="L345" s="36">
        <f t="shared" si="108"/>
        <v>-2796.5699999999997</v>
      </c>
    </row>
    <row r="346" spans="1:12" ht="25.5" x14ac:dyDescent="0.25">
      <c r="A346" s="32"/>
      <c r="B346" s="37"/>
      <c r="C346" s="39" t="s">
        <v>503</v>
      </c>
      <c r="D346" s="88" t="s">
        <v>320</v>
      </c>
      <c r="E346" s="34"/>
      <c r="F346" s="89" t="s">
        <v>227</v>
      </c>
      <c r="G346" s="35">
        <v>1000</v>
      </c>
      <c r="H346" s="35">
        <v>1000</v>
      </c>
      <c r="I346" s="35">
        <v>0</v>
      </c>
      <c r="J346" s="90">
        <f t="shared" si="83"/>
        <v>0</v>
      </c>
      <c r="K346" s="90">
        <f t="shared" si="117"/>
        <v>0</v>
      </c>
      <c r="L346" s="36">
        <f t="shared" si="108"/>
        <v>-500</v>
      </c>
    </row>
    <row r="347" spans="1:12" ht="24.75" customHeight="1" x14ac:dyDescent="0.25">
      <c r="A347" s="40"/>
      <c r="B347" s="38"/>
      <c r="C347" s="39" t="s">
        <v>354</v>
      </c>
      <c r="D347" s="88" t="s">
        <v>320</v>
      </c>
      <c r="E347" s="34"/>
      <c r="F347" s="89" t="s">
        <v>229</v>
      </c>
      <c r="G347" s="35">
        <v>60000</v>
      </c>
      <c r="H347" s="35">
        <v>60000</v>
      </c>
      <c r="I347" s="35">
        <v>17560</v>
      </c>
      <c r="J347" s="90">
        <f t="shared" ref="J347:J411" si="123">I347/H347</f>
        <v>0.29266666666666669</v>
      </c>
      <c r="K347" s="90">
        <f t="shared" si="117"/>
        <v>6.0923092361887377E-5</v>
      </c>
      <c r="L347" s="36">
        <f t="shared" si="108"/>
        <v>-12440</v>
      </c>
    </row>
    <row r="348" spans="1:12" s="2" customFormat="1" ht="18" customHeight="1" x14ac:dyDescent="0.25">
      <c r="A348" s="76" t="s">
        <v>230</v>
      </c>
      <c r="B348" s="77"/>
      <c r="C348" s="164" t="s">
        <v>231</v>
      </c>
      <c r="D348" s="164"/>
      <c r="E348" s="164"/>
      <c r="F348" s="165"/>
      <c r="G348" s="92">
        <f>+G349+G351+G354</f>
        <v>1796447</v>
      </c>
      <c r="H348" s="92">
        <f t="shared" ref="H348:I348" si="124">+H349+H351+H354</f>
        <v>1796447</v>
      </c>
      <c r="I348" s="92">
        <f t="shared" si="124"/>
        <v>1046660.19</v>
      </c>
      <c r="J348" s="93">
        <f t="shared" si="123"/>
        <v>0.58262792612306402</v>
      </c>
      <c r="K348" s="93">
        <f t="shared" si="117"/>
        <v>3.6313083956082339E-3</v>
      </c>
      <c r="L348" s="92">
        <f t="shared" ref="L348" si="125">+L349+L351+L354</f>
        <v>148436.68999999994</v>
      </c>
    </row>
    <row r="349" spans="1:12" s="1" customFormat="1" ht="30" customHeight="1" x14ac:dyDescent="0.25">
      <c r="A349" s="31"/>
      <c r="B349" s="81" t="s">
        <v>374</v>
      </c>
      <c r="C349" s="82"/>
      <c r="D349" s="82"/>
      <c r="E349" s="82"/>
      <c r="F349" s="83" t="s">
        <v>232</v>
      </c>
      <c r="G349" s="84">
        <f>+G350</f>
        <v>100000</v>
      </c>
      <c r="H349" s="84">
        <f t="shared" ref="H349:I349" si="126">+H350</f>
        <v>100000</v>
      </c>
      <c r="I349" s="84">
        <f t="shared" si="126"/>
        <v>69543.75</v>
      </c>
      <c r="J349" s="85">
        <f t="shared" si="123"/>
        <v>0.69543750000000004</v>
      </c>
      <c r="K349" s="85">
        <f t="shared" si="117"/>
        <v>2.4127678271309826E-4</v>
      </c>
      <c r="L349" s="86">
        <f>+I349-H349*50%</f>
        <v>19543.75</v>
      </c>
    </row>
    <row r="350" spans="1:12" ht="24" customHeight="1" x14ac:dyDescent="0.25">
      <c r="A350" s="32"/>
      <c r="B350" s="33"/>
      <c r="C350" s="39" t="s">
        <v>354</v>
      </c>
      <c r="D350" s="88" t="s">
        <v>320</v>
      </c>
      <c r="E350" s="34"/>
      <c r="F350" s="89" t="s">
        <v>233</v>
      </c>
      <c r="G350" s="35">
        <v>100000</v>
      </c>
      <c r="H350" s="35">
        <v>100000</v>
      </c>
      <c r="I350" s="35">
        <v>69543.75</v>
      </c>
      <c r="J350" s="90">
        <f t="shared" si="123"/>
        <v>0.69543750000000004</v>
      </c>
      <c r="K350" s="90">
        <f t="shared" si="117"/>
        <v>2.4127678271309826E-4</v>
      </c>
      <c r="L350" s="36">
        <f t="shared" ref="L350" si="127">+I350-H350*50%</f>
        <v>19543.75</v>
      </c>
    </row>
    <row r="351" spans="1:12" s="1" customFormat="1" ht="19.5" customHeight="1" x14ac:dyDescent="0.25">
      <c r="A351" s="31"/>
      <c r="B351" s="81">
        <v>85217</v>
      </c>
      <c r="C351" s="82"/>
      <c r="D351" s="82"/>
      <c r="E351" s="82"/>
      <c r="F351" s="83" t="s">
        <v>236</v>
      </c>
      <c r="G351" s="84">
        <f>+G352+G353</f>
        <v>1088349</v>
      </c>
      <c r="H351" s="84">
        <f t="shared" ref="H351:I351" si="128">+H352+H353</f>
        <v>1088349</v>
      </c>
      <c r="I351" s="84">
        <f t="shared" si="128"/>
        <v>977116.44</v>
      </c>
      <c r="J351" s="85">
        <f t="shared" si="123"/>
        <v>0.89779697505120137</v>
      </c>
      <c r="K351" s="85">
        <f t="shared" si="117"/>
        <v>3.3900316128951356E-3</v>
      </c>
      <c r="L351" s="86">
        <f>+I351-H351*50%</f>
        <v>432941.93999999994</v>
      </c>
    </row>
    <row r="352" spans="1:12" ht="15" x14ac:dyDescent="0.25">
      <c r="A352" s="32"/>
      <c r="B352" s="44"/>
      <c r="C352" s="39" t="s">
        <v>504</v>
      </c>
      <c r="D352" s="88" t="s">
        <v>320</v>
      </c>
      <c r="E352" s="34"/>
      <c r="F352" s="89" t="s">
        <v>237</v>
      </c>
      <c r="G352" s="35">
        <v>60000</v>
      </c>
      <c r="H352" s="35">
        <v>93070</v>
      </c>
      <c r="I352" s="35">
        <v>49919</v>
      </c>
      <c r="J352" s="90">
        <f t="shared" si="123"/>
        <v>0.5363597292360589</v>
      </c>
      <c r="K352" s="90">
        <f t="shared" si="117"/>
        <v>1.7319019633331754E-4</v>
      </c>
      <c r="L352" s="36">
        <f t="shared" ref="L352:L357" si="129">+I352-H352*50%</f>
        <v>3384</v>
      </c>
    </row>
    <row r="353" spans="1:12" ht="15" x14ac:dyDescent="0.25">
      <c r="A353" s="32"/>
      <c r="B353" s="38"/>
      <c r="C353" s="39" t="s">
        <v>504</v>
      </c>
      <c r="D353" s="88" t="s">
        <v>320</v>
      </c>
      <c r="E353" s="34"/>
      <c r="F353" s="89" t="s">
        <v>238</v>
      </c>
      <c r="G353" s="35">
        <v>1028349</v>
      </c>
      <c r="H353" s="35">
        <v>995279</v>
      </c>
      <c r="I353" s="35">
        <v>927197.44</v>
      </c>
      <c r="J353" s="90">
        <f t="shared" si="123"/>
        <v>0.93159550236667299</v>
      </c>
      <c r="K353" s="90">
        <f t="shared" si="117"/>
        <v>3.2168414165618183E-3</v>
      </c>
      <c r="L353" s="36">
        <f t="shared" si="129"/>
        <v>429557.93999999994</v>
      </c>
    </row>
    <row r="354" spans="1:12" s="1" customFormat="1" ht="21" customHeight="1" x14ac:dyDescent="0.25">
      <c r="A354" s="31"/>
      <c r="B354" s="81">
        <v>85226</v>
      </c>
      <c r="C354" s="82"/>
      <c r="D354" s="82"/>
      <c r="E354" s="82"/>
      <c r="F354" s="83" t="s">
        <v>239</v>
      </c>
      <c r="G354" s="84">
        <f>+G355+G356+G357</f>
        <v>608098</v>
      </c>
      <c r="H354" s="84">
        <f t="shared" ref="H354:I354" si="130">+H355+H356+H357</f>
        <v>608098</v>
      </c>
      <c r="I354" s="84">
        <f t="shared" si="130"/>
        <v>0</v>
      </c>
      <c r="J354" s="85">
        <f t="shared" si="123"/>
        <v>0</v>
      </c>
      <c r="K354" s="85">
        <f t="shared" si="117"/>
        <v>0</v>
      </c>
      <c r="L354" s="86">
        <f>+I354-H354*50%</f>
        <v>-304049</v>
      </c>
    </row>
    <row r="355" spans="1:12" ht="25.5" x14ac:dyDescent="0.25">
      <c r="A355" s="32"/>
      <c r="B355" s="44"/>
      <c r="C355" s="110" t="s">
        <v>386</v>
      </c>
      <c r="D355" s="88" t="s">
        <v>320</v>
      </c>
      <c r="E355" s="34"/>
      <c r="F355" s="89" t="s">
        <v>240</v>
      </c>
      <c r="G355" s="35">
        <v>0</v>
      </c>
      <c r="H355" s="35">
        <v>185299</v>
      </c>
      <c r="I355" s="35">
        <v>0</v>
      </c>
      <c r="J355" s="90">
        <f t="shared" si="123"/>
        <v>0</v>
      </c>
      <c r="K355" s="90">
        <f t="shared" si="117"/>
        <v>0</v>
      </c>
      <c r="L355" s="36">
        <f t="shared" si="129"/>
        <v>-92649.5</v>
      </c>
    </row>
    <row r="356" spans="1:12" ht="25.5" x14ac:dyDescent="0.25">
      <c r="A356" s="32"/>
      <c r="B356" s="37"/>
      <c r="C356" s="110" t="s">
        <v>387</v>
      </c>
      <c r="D356" s="88" t="s">
        <v>320</v>
      </c>
      <c r="E356" s="34"/>
      <c r="F356" s="89" t="s">
        <v>241</v>
      </c>
      <c r="G356" s="35">
        <v>0</v>
      </c>
      <c r="H356" s="35">
        <v>185299</v>
      </c>
      <c r="I356" s="35">
        <v>0</v>
      </c>
      <c r="J356" s="90">
        <f t="shared" si="123"/>
        <v>0</v>
      </c>
      <c r="K356" s="90">
        <f t="shared" si="117"/>
        <v>0</v>
      </c>
      <c r="L356" s="36">
        <f t="shared" si="129"/>
        <v>-92649.5</v>
      </c>
    </row>
    <row r="357" spans="1:12" ht="15" x14ac:dyDescent="0.25">
      <c r="A357" s="40"/>
      <c r="B357" s="38"/>
      <c r="C357" s="39" t="s">
        <v>504</v>
      </c>
      <c r="D357" s="88" t="s">
        <v>320</v>
      </c>
      <c r="E357" s="34"/>
      <c r="F357" s="89" t="s">
        <v>242</v>
      </c>
      <c r="G357" s="35">
        <v>608098</v>
      </c>
      <c r="H357" s="35">
        <v>237500</v>
      </c>
      <c r="I357" s="35">
        <v>0</v>
      </c>
      <c r="J357" s="90">
        <f t="shared" si="123"/>
        <v>0</v>
      </c>
      <c r="K357" s="90">
        <f t="shared" si="117"/>
        <v>0</v>
      </c>
      <c r="L357" s="36">
        <f t="shared" si="129"/>
        <v>-118750</v>
      </c>
    </row>
    <row r="358" spans="1:12" s="2" customFormat="1" ht="15.75" x14ac:dyDescent="0.25">
      <c r="A358" s="76" t="s">
        <v>243</v>
      </c>
      <c r="B358" s="77"/>
      <c r="C358" s="164" t="s">
        <v>244</v>
      </c>
      <c r="D358" s="164"/>
      <c r="E358" s="164"/>
      <c r="F358" s="165"/>
      <c r="G358" s="92">
        <f>+G359+G361+G363+G368</f>
        <v>56499159</v>
      </c>
      <c r="H358" s="92">
        <f>+H359+H361+H363+H368</f>
        <v>56667464</v>
      </c>
      <c r="I358" s="92">
        <f>+I359+I361+I363+I368</f>
        <v>18181930.109999999</v>
      </c>
      <c r="J358" s="93">
        <f t="shared" si="123"/>
        <v>0.32085307558496001</v>
      </c>
      <c r="K358" s="93">
        <f t="shared" si="117"/>
        <v>6.3080831856999489E-2</v>
      </c>
      <c r="L358" s="92">
        <f>+L359+L361+L363+L368</f>
        <v>-10151801.889999999</v>
      </c>
    </row>
    <row r="359" spans="1:12" s="1" customFormat="1" ht="30" customHeight="1" x14ac:dyDescent="0.25">
      <c r="A359" s="31"/>
      <c r="B359" s="81">
        <v>85311</v>
      </c>
      <c r="C359" s="82"/>
      <c r="D359" s="82"/>
      <c r="E359" s="82"/>
      <c r="F359" s="83" t="s">
        <v>245</v>
      </c>
      <c r="G359" s="84">
        <f>+G360</f>
        <v>600000</v>
      </c>
      <c r="H359" s="84">
        <f t="shared" ref="H359:I359" si="131">+H360</f>
        <v>600000</v>
      </c>
      <c r="I359" s="84">
        <f t="shared" si="131"/>
        <v>523000</v>
      </c>
      <c r="J359" s="85">
        <f t="shared" si="123"/>
        <v>0.8716666666666667</v>
      </c>
      <c r="K359" s="85">
        <f t="shared" si="117"/>
        <v>1.8145089581587186E-3</v>
      </c>
      <c r="L359" s="86">
        <f>+I359-H359*50%</f>
        <v>223000</v>
      </c>
    </row>
    <row r="360" spans="1:12" ht="27" customHeight="1" x14ac:dyDescent="0.25">
      <c r="A360" s="32"/>
      <c r="B360" s="33"/>
      <c r="C360" s="39" t="s">
        <v>504</v>
      </c>
      <c r="D360" s="88" t="s">
        <v>320</v>
      </c>
      <c r="E360" s="34"/>
      <c r="F360" s="89" t="s">
        <v>246</v>
      </c>
      <c r="G360" s="35">
        <v>600000</v>
      </c>
      <c r="H360" s="35">
        <v>600000</v>
      </c>
      <c r="I360" s="35">
        <v>523000</v>
      </c>
      <c r="J360" s="90">
        <f t="shared" si="123"/>
        <v>0.8716666666666667</v>
      </c>
      <c r="K360" s="90">
        <f t="shared" si="117"/>
        <v>1.8145089581587186E-3</v>
      </c>
      <c r="L360" s="36">
        <f t="shared" ref="L360" si="132">+I360-H360*50%</f>
        <v>223000</v>
      </c>
    </row>
    <row r="361" spans="1:12" s="1" customFormat="1" ht="32.25" customHeight="1" x14ac:dyDescent="0.25">
      <c r="A361" s="31"/>
      <c r="B361" s="81">
        <v>85325</v>
      </c>
      <c r="C361" s="82"/>
      <c r="D361" s="82"/>
      <c r="E361" s="82"/>
      <c r="F361" s="83" t="s">
        <v>247</v>
      </c>
      <c r="G361" s="84">
        <f>+G362</f>
        <v>1222000</v>
      </c>
      <c r="H361" s="84">
        <f t="shared" ref="H361:I361" si="133">+H362</f>
        <v>1222000</v>
      </c>
      <c r="I361" s="84">
        <f t="shared" si="133"/>
        <v>604304.53</v>
      </c>
      <c r="J361" s="85">
        <f t="shared" si="123"/>
        <v>0.49452089198036009</v>
      </c>
      <c r="K361" s="85">
        <f t="shared" si="117"/>
        <v>2.0965888778984591E-3</v>
      </c>
      <c r="L361" s="86">
        <f>+I361-H361*50%</f>
        <v>-6695.4699999999721</v>
      </c>
    </row>
    <row r="362" spans="1:12" ht="25.5" x14ac:dyDescent="0.25">
      <c r="A362" s="32"/>
      <c r="B362" s="33"/>
      <c r="C362" s="39" t="s">
        <v>330</v>
      </c>
      <c r="D362" s="88" t="s">
        <v>320</v>
      </c>
      <c r="E362" s="34"/>
      <c r="F362" s="89" t="s">
        <v>248</v>
      </c>
      <c r="G362" s="35">
        <v>1222000</v>
      </c>
      <c r="H362" s="35">
        <v>1222000</v>
      </c>
      <c r="I362" s="35">
        <v>604304.53</v>
      </c>
      <c r="J362" s="90">
        <f t="shared" si="123"/>
        <v>0.49452089198036009</v>
      </c>
      <c r="K362" s="90">
        <f t="shared" si="117"/>
        <v>2.0965888778984591E-3</v>
      </c>
      <c r="L362" s="36">
        <f t="shared" ref="L362:L386" si="134">+I362-H362*50%</f>
        <v>-6695.4699999999721</v>
      </c>
    </row>
    <row r="363" spans="1:12" s="1" customFormat="1" ht="18.75" customHeight="1" x14ac:dyDescent="0.25">
      <c r="A363" s="31"/>
      <c r="B363" s="104">
        <v>85332</v>
      </c>
      <c r="C363" s="82"/>
      <c r="D363" s="82"/>
      <c r="E363" s="82"/>
      <c r="F363" s="83" t="s">
        <v>249</v>
      </c>
      <c r="G363" s="84">
        <f>SUM(G364:G367)</f>
        <v>16908276</v>
      </c>
      <c r="H363" s="84">
        <f t="shared" ref="H363:I363" si="135">SUM(H364:H367)</f>
        <v>16764577</v>
      </c>
      <c r="I363" s="84">
        <f t="shared" si="135"/>
        <v>8083775.0599999996</v>
      </c>
      <c r="J363" s="85">
        <f t="shared" si="123"/>
        <v>0.48219379826881403</v>
      </c>
      <c r="K363" s="85">
        <f t="shared" si="117"/>
        <v>2.8046046390267747E-2</v>
      </c>
      <c r="L363" s="84">
        <f t="shared" ref="L363" si="136">SUM(L364:L367)</f>
        <v>-298513.44000000041</v>
      </c>
    </row>
    <row r="364" spans="1:12" ht="27" customHeight="1" x14ac:dyDescent="0.25">
      <c r="A364" s="32"/>
      <c r="B364" s="44"/>
      <c r="C364" s="39" t="s">
        <v>330</v>
      </c>
      <c r="D364" s="88" t="s">
        <v>320</v>
      </c>
      <c r="E364" s="34" t="s">
        <v>390</v>
      </c>
      <c r="F364" s="89" t="s">
        <v>463</v>
      </c>
      <c r="G364" s="35">
        <v>9067706</v>
      </c>
      <c r="H364" s="35">
        <v>9067706</v>
      </c>
      <c r="I364" s="35">
        <v>4170028.3</v>
      </c>
      <c r="J364" s="90">
        <f t="shared" si="123"/>
        <v>0.45987687514350373</v>
      </c>
      <c r="K364" s="90">
        <f t="shared" si="117"/>
        <v>1.4467597908461515E-2</v>
      </c>
      <c r="L364" s="36">
        <f t="shared" si="134"/>
        <v>-363824.70000000019</v>
      </c>
    </row>
    <row r="365" spans="1:12" ht="25.5" x14ac:dyDescent="0.25">
      <c r="A365" s="32"/>
      <c r="B365" s="37"/>
      <c r="C365" s="39" t="s">
        <v>330</v>
      </c>
      <c r="D365" s="88" t="s">
        <v>320</v>
      </c>
      <c r="E365" s="34" t="s">
        <v>390</v>
      </c>
      <c r="F365" s="89" t="s">
        <v>464</v>
      </c>
      <c r="G365" s="35">
        <v>957000</v>
      </c>
      <c r="H365" s="35">
        <v>957000</v>
      </c>
      <c r="I365" s="35">
        <v>478500</v>
      </c>
      <c r="J365" s="90">
        <f t="shared" si="123"/>
        <v>0.5</v>
      </c>
      <c r="K365" s="90">
        <f t="shared" si="117"/>
        <v>1.6601195726174891E-3</v>
      </c>
      <c r="L365" s="36">
        <f t="shared" si="134"/>
        <v>0</v>
      </c>
    </row>
    <row r="366" spans="1:12" ht="25.5" x14ac:dyDescent="0.25">
      <c r="A366" s="32"/>
      <c r="B366" s="37"/>
      <c r="C366" s="39" t="s">
        <v>330</v>
      </c>
      <c r="D366" s="88" t="s">
        <v>320</v>
      </c>
      <c r="E366" s="34"/>
      <c r="F366" s="89" t="s">
        <v>251</v>
      </c>
      <c r="G366" s="35">
        <v>6883570</v>
      </c>
      <c r="H366" s="35">
        <v>6696461</v>
      </c>
      <c r="I366" s="35">
        <v>3410246.76</v>
      </c>
      <c r="J366" s="90">
        <f t="shared" si="123"/>
        <v>0.50926104997848864</v>
      </c>
      <c r="K366" s="90">
        <f t="shared" si="117"/>
        <v>1.1831593299334121E-2</v>
      </c>
      <c r="L366" s="36">
        <f t="shared" si="134"/>
        <v>62016.259999999776</v>
      </c>
    </row>
    <row r="367" spans="1:12" ht="15" x14ac:dyDescent="0.25">
      <c r="A367" s="32"/>
      <c r="B367" s="45"/>
      <c r="C367" s="39" t="s">
        <v>328</v>
      </c>
      <c r="D367" s="88" t="s">
        <v>320</v>
      </c>
      <c r="E367" s="34"/>
      <c r="F367" s="89" t="s">
        <v>516</v>
      </c>
      <c r="G367" s="35">
        <v>0</v>
      </c>
      <c r="H367" s="35">
        <v>43410</v>
      </c>
      <c r="I367" s="35">
        <v>25000</v>
      </c>
      <c r="J367" s="90">
        <f t="shared" si="123"/>
        <v>0.57590416954618751</v>
      </c>
      <c r="K367" s="90">
        <f t="shared" si="117"/>
        <v>8.6735609854623252E-5</v>
      </c>
      <c r="L367" s="36">
        <f t="shared" si="134"/>
        <v>3295</v>
      </c>
    </row>
    <row r="368" spans="1:12" s="1" customFormat="1" x14ac:dyDescent="0.25">
      <c r="A368" s="32"/>
      <c r="B368" s="81" t="s">
        <v>409</v>
      </c>
      <c r="C368" s="82"/>
      <c r="D368" s="82"/>
      <c r="E368" s="82"/>
      <c r="F368" s="83" t="s">
        <v>18</v>
      </c>
      <c r="G368" s="84">
        <f>+G369+G370+G371+G372+G373+G374+G375+G376+G377+G378+G379+G380+G381+G382+G383+G384+G385+G386</f>
        <v>37768883</v>
      </c>
      <c r="H368" s="84">
        <f t="shared" ref="H368:I368" si="137">+H369+H370+H371+H372+H373+H374+H375+H376+H377+H378+H379+H380+H381+H382+H383+H384+H385+H386</f>
        <v>38080887</v>
      </c>
      <c r="I368" s="84">
        <f t="shared" si="137"/>
        <v>8970850.5200000014</v>
      </c>
      <c r="J368" s="85">
        <f t="shared" si="123"/>
        <v>0.23557357054209377</v>
      </c>
      <c r="K368" s="85">
        <f t="shared" si="117"/>
        <v>3.1123687630674572E-2</v>
      </c>
      <c r="L368" s="86">
        <f>+I368-H368*50%</f>
        <v>-10069592.979999999</v>
      </c>
    </row>
    <row r="369" spans="1:12" ht="24.75" customHeight="1" x14ac:dyDescent="0.25">
      <c r="A369" s="32"/>
      <c r="B369" s="44"/>
      <c r="C369" s="110" t="s">
        <v>382</v>
      </c>
      <c r="D369" s="88" t="s">
        <v>320</v>
      </c>
      <c r="E369" s="34"/>
      <c r="F369" s="89" t="s">
        <v>30</v>
      </c>
      <c r="G369" s="35">
        <v>0</v>
      </c>
      <c r="H369" s="35">
        <v>20131</v>
      </c>
      <c r="I369" s="35">
        <v>20116.990000000002</v>
      </c>
      <c r="J369" s="90">
        <f t="shared" si="123"/>
        <v>0.99930405841736636</v>
      </c>
      <c r="K369" s="90">
        <f t="shared" si="117"/>
        <v>6.9794375843574311E-5</v>
      </c>
      <c r="L369" s="36">
        <f t="shared" si="134"/>
        <v>10051.490000000002</v>
      </c>
    </row>
    <row r="370" spans="1:12" ht="15.75" customHeight="1" x14ac:dyDescent="0.25">
      <c r="A370" s="32"/>
      <c r="B370" s="37"/>
      <c r="C370" s="39" t="s">
        <v>330</v>
      </c>
      <c r="D370" s="88" t="s">
        <v>320</v>
      </c>
      <c r="E370" s="34"/>
      <c r="F370" s="89" t="s">
        <v>30</v>
      </c>
      <c r="G370" s="35">
        <v>0</v>
      </c>
      <c r="H370" s="35">
        <v>22670</v>
      </c>
      <c r="I370" s="35">
        <v>22670</v>
      </c>
      <c r="J370" s="90">
        <f t="shared" si="123"/>
        <v>1</v>
      </c>
      <c r="K370" s="90">
        <f t="shared" si="117"/>
        <v>7.865185101617237E-5</v>
      </c>
      <c r="L370" s="36">
        <f t="shared" si="134"/>
        <v>11335</v>
      </c>
    </row>
    <row r="371" spans="1:12" ht="14.25" customHeight="1" x14ac:dyDescent="0.25">
      <c r="A371" s="32"/>
      <c r="B371" s="37"/>
      <c r="C371" s="39" t="s">
        <v>330</v>
      </c>
      <c r="D371" s="88" t="s">
        <v>320</v>
      </c>
      <c r="E371" s="34"/>
      <c r="F371" s="89" t="s">
        <v>252</v>
      </c>
      <c r="G371" s="35">
        <v>1523952</v>
      </c>
      <c r="H371" s="35">
        <v>1523952</v>
      </c>
      <c r="I371" s="35">
        <v>1014862.25</v>
      </c>
      <c r="J371" s="90">
        <f t="shared" si="123"/>
        <v>0.66594108607095237</v>
      </c>
      <c r="K371" s="90">
        <f t="shared" si="117"/>
        <v>3.5209878468874054E-3</v>
      </c>
      <c r="L371" s="36">
        <f t="shared" si="134"/>
        <v>252886.25</v>
      </c>
    </row>
    <row r="372" spans="1:12" ht="15" x14ac:dyDescent="0.25">
      <c r="A372" s="32"/>
      <c r="B372" s="37"/>
      <c r="C372" s="39" t="s">
        <v>330</v>
      </c>
      <c r="D372" s="88" t="s">
        <v>320</v>
      </c>
      <c r="E372" s="34"/>
      <c r="F372" s="89" t="s">
        <v>253</v>
      </c>
      <c r="G372" s="35">
        <v>5505203</v>
      </c>
      <c r="H372" s="35">
        <v>5505203</v>
      </c>
      <c r="I372" s="35">
        <v>270907.76</v>
      </c>
      <c r="J372" s="90">
        <f t="shared" si="123"/>
        <v>4.9209404267199594E-2</v>
      </c>
      <c r="K372" s="90">
        <f t="shared" si="117"/>
        <v>9.3989399111799651E-4</v>
      </c>
      <c r="L372" s="36">
        <f t="shared" si="134"/>
        <v>-2481693.7400000002</v>
      </c>
    </row>
    <row r="373" spans="1:12" ht="15" x14ac:dyDescent="0.25">
      <c r="A373" s="32"/>
      <c r="B373" s="37"/>
      <c r="C373" s="39" t="s">
        <v>330</v>
      </c>
      <c r="D373" s="88" t="s">
        <v>320</v>
      </c>
      <c r="E373" s="34"/>
      <c r="F373" s="89" t="s">
        <v>254</v>
      </c>
      <c r="G373" s="35">
        <v>90000</v>
      </c>
      <c r="H373" s="35">
        <v>90000</v>
      </c>
      <c r="I373" s="35">
        <v>58973.02</v>
      </c>
      <c r="J373" s="90">
        <f t="shared" si="123"/>
        <v>0.65525577777777777</v>
      </c>
      <c r="K373" s="90">
        <f t="shared" si="117"/>
        <v>2.0460243418675577E-4</v>
      </c>
      <c r="L373" s="36">
        <f t="shared" si="134"/>
        <v>13973.019999999997</v>
      </c>
    </row>
    <row r="374" spans="1:12" ht="15" customHeight="1" x14ac:dyDescent="0.25">
      <c r="A374" s="32"/>
      <c r="B374" s="37"/>
      <c r="C374" s="39" t="s">
        <v>330</v>
      </c>
      <c r="D374" s="88" t="s">
        <v>320</v>
      </c>
      <c r="E374" s="34"/>
      <c r="F374" s="89" t="s">
        <v>255</v>
      </c>
      <c r="G374" s="35">
        <v>8978643</v>
      </c>
      <c r="H374" s="35">
        <v>8969579</v>
      </c>
      <c r="I374" s="35">
        <v>951590.76</v>
      </c>
      <c r="J374" s="90">
        <f t="shared" si="123"/>
        <v>0.1060909057158647</v>
      </c>
      <c r="K374" s="90">
        <f t="shared" si="117"/>
        <v>3.3014721960249772E-3</v>
      </c>
      <c r="L374" s="36">
        <f t="shared" si="134"/>
        <v>-3533198.74</v>
      </c>
    </row>
    <row r="375" spans="1:12" ht="13.5" customHeight="1" x14ac:dyDescent="0.25">
      <c r="A375" s="32"/>
      <c r="B375" s="37"/>
      <c r="C375" s="39" t="s">
        <v>330</v>
      </c>
      <c r="D375" s="88" t="s">
        <v>320</v>
      </c>
      <c r="E375" s="34"/>
      <c r="F375" s="89" t="s">
        <v>256</v>
      </c>
      <c r="G375" s="35">
        <v>100000</v>
      </c>
      <c r="H375" s="35">
        <v>100000</v>
      </c>
      <c r="I375" s="35">
        <v>51894.25</v>
      </c>
      <c r="J375" s="90">
        <f t="shared" si="123"/>
        <v>0.51894249999999997</v>
      </c>
      <c r="K375" s="90">
        <f t="shared" si="117"/>
        <v>1.8004317686793131E-4</v>
      </c>
      <c r="L375" s="36">
        <f t="shared" si="134"/>
        <v>1894.25</v>
      </c>
    </row>
    <row r="376" spans="1:12" ht="15" x14ac:dyDescent="0.25">
      <c r="A376" s="32"/>
      <c r="B376" s="37"/>
      <c r="C376" s="39" t="s">
        <v>330</v>
      </c>
      <c r="D376" s="88" t="s">
        <v>320</v>
      </c>
      <c r="E376" s="34"/>
      <c r="F376" s="89" t="s">
        <v>257</v>
      </c>
      <c r="G376" s="35">
        <v>8114762</v>
      </c>
      <c r="H376" s="35">
        <v>8113859</v>
      </c>
      <c r="I376" s="35">
        <v>2618096.6800000002</v>
      </c>
      <c r="J376" s="90">
        <f t="shared" si="123"/>
        <v>0.32266972842392261</v>
      </c>
      <c r="K376" s="90">
        <f t="shared" si="117"/>
        <v>9.0832884879265777E-3</v>
      </c>
      <c r="L376" s="36">
        <f t="shared" si="134"/>
        <v>-1438832.8199999998</v>
      </c>
    </row>
    <row r="377" spans="1:12" ht="15" x14ac:dyDescent="0.25">
      <c r="A377" s="32"/>
      <c r="B377" s="37"/>
      <c r="C377" s="39" t="s">
        <v>330</v>
      </c>
      <c r="D377" s="88" t="s">
        <v>320</v>
      </c>
      <c r="E377" s="34"/>
      <c r="F377" s="89" t="s">
        <v>258</v>
      </c>
      <c r="G377" s="35">
        <v>1998822</v>
      </c>
      <c r="H377" s="35">
        <v>1998822</v>
      </c>
      <c r="I377" s="35">
        <v>238140.55</v>
      </c>
      <c r="J377" s="90">
        <f t="shared" si="123"/>
        <v>0.1191404487242986</v>
      </c>
      <c r="K377" s="90">
        <f t="shared" si="117"/>
        <v>8.2621063341461608E-4</v>
      </c>
      <c r="L377" s="36">
        <f t="shared" si="134"/>
        <v>-761270.45</v>
      </c>
    </row>
    <row r="378" spans="1:12" ht="15" x14ac:dyDescent="0.25">
      <c r="A378" s="32"/>
      <c r="B378" s="37"/>
      <c r="C378" s="39" t="s">
        <v>330</v>
      </c>
      <c r="D378" s="88" t="s">
        <v>320</v>
      </c>
      <c r="E378" s="34"/>
      <c r="F378" s="89" t="s">
        <v>259</v>
      </c>
      <c r="G378" s="35">
        <v>904863</v>
      </c>
      <c r="H378" s="35">
        <v>904863</v>
      </c>
      <c r="I378" s="35">
        <v>341721.07</v>
      </c>
      <c r="J378" s="90">
        <f t="shared" si="123"/>
        <v>0.3776495115835215</v>
      </c>
      <c r="K378" s="90">
        <f t="shared" si="117"/>
        <v>1.1855754162649762E-3</v>
      </c>
      <c r="L378" s="36">
        <f t="shared" si="134"/>
        <v>-110710.43</v>
      </c>
    </row>
    <row r="379" spans="1:12" ht="15" x14ac:dyDescent="0.25">
      <c r="A379" s="32"/>
      <c r="B379" s="37"/>
      <c r="C379" s="39" t="s">
        <v>330</v>
      </c>
      <c r="D379" s="88" t="s">
        <v>320</v>
      </c>
      <c r="E379" s="34"/>
      <c r="F379" s="89" t="s">
        <v>260</v>
      </c>
      <c r="G379" s="35">
        <v>1212456</v>
      </c>
      <c r="H379" s="35">
        <v>1212456</v>
      </c>
      <c r="I379" s="35">
        <v>170218.67</v>
      </c>
      <c r="J379" s="90">
        <f t="shared" si="123"/>
        <v>0.14039162658273785</v>
      </c>
      <c r="K379" s="90">
        <f t="shared" si="117"/>
        <v>5.9056080604371459E-4</v>
      </c>
      <c r="L379" s="36">
        <f t="shared" si="134"/>
        <v>-436009.32999999996</v>
      </c>
    </row>
    <row r="380" spans="1:12" ht="15" x14ac:dyDescent="0.25">
      <c r="A380" s="32"/>
      <c r="B380" s="37"/>
      <c r="C380" s="39" t="s">
        <v>330</v>
      </c>
      <c r="D380" s="88" t="s">
        <v>320</v>
      </c>
      <c r="E380" s="34"/>
      <c r="F380" s="89" t="s">
        <v>261</v>
      </c>
      <c r="G380" s="35">
        <v>640789</v>
      </c>
      <c r="H380" s="35">
        <v>640789</v>
      </c>
      <c r="I380" s="35">
        <v>234498.63</v>
      </c>
      <c r="J380" s="90">
        <f t="shared" si="123"/>
        <v>0.36595295799397304</v>
      </c>
      <c r="K380" s="90">
        <f t="shared" si="117"/>
        <v>8.1357526732494612E-4</v>
      </c>
      <c r="L380" s="36">
        <f t="shared" si="134"/>
        <v>-85895.87</v>
      </c>
    </row>
    <row r="381" spans="1:12" ht="25.5" x14ac:dyDescent="0.25">
      <c r="A381" s="32"/>
      <c r="B381" s="37"/>
      <c r="C381" s="39" t="s">
        <v>330</v>
      </c>
      <c r="D381" s="88" t="s">
        <v>320</v>
      </c>
      <c r="E381" s="34" t="s">
        <v>390</v>
      </c>
      <c r="F381" s="89" t="s">
        <v>465</v>
      </c>
      <c r="G381" s="35">
        <v>749999</v>
      </c>
      <c r="H381" s="35">
        <v>810428</v>
      </c>
      <c r="I381" s="35">
        <v>250688.18</v>
      </c>
      <c r="J381" s="90">
        <f t="shared" si="123"/>
        <v>0.30932813278909416</v>
      </c>
      <c r="K381" s="90">
        <f t="shared" si="117"/>
        <v>8.697436870258227E-4</v>
      </c>
      <c r="L381" s="36">
        <f t="shared" si="134"/>
        <v>-154525.82</v>
      </c>
    </row>
    <row r="382" spans="1:12" ht="26.25" customHeight="1" x14ac:dyDescent="0.25">
      <c r="A382" s="32"/>
      <c r="B382" s="37"/>
      <c r="C382" s="39" t="s">
        <v>330</v>
      </c>
      <c r="D382" s="88" t="s">
        <v>320</v>
      </c>
      <c r="E382" s="34" t="s">
        <v>390</v>
      </c>
      <c r="F382" s="89" t="s">
        <v>466</v>
      </c>
      <c r="G382" s="35">
        <v>1255673</v>
      </c>
      <c r="H382" s="35">
        <v>1262358</v>
      </c>
      <c r="I382" s="35">
        <v>690266.81</v>
      </c>
      <c r="J382" s="90">
        <f t="shared" si="123"/>
        <v>0.546807490426646</v>
      </c>
      <c r="K382" s="90">
        <f t="shared" si="117"/>
        <v>2.3948285091102144E-3</v>
      </c>
      <c r="L382" s="36">
        <f t="shared" si="134"/>
        <v>59087.810000000056</v>
      </c>
    </row>
    <row r="383" spans="1:12" ht="29.25" customHeight="1" x14ac:dyDescent="0.25">
      <c r="A383" s="32"/>
      <c r="B383" s="37"/>
      <c r="C383" s="39" t="s">
        <v>330</v>
      </c>
      <c r="D383" s="88" t="s">
        <v>320</v>
      </c>
      <c r="E383" s="34" t="s">
        <v>390</v>
      </c>
      <c r="F383" s="89" t="s">
        <v>467</v>
      </c>
      <c r="G383" s="35">
        <v>2550000</v>
      </c>
      <c r="H383" s="35">
        <v>2762056</v>
      </c>
      <c r="I383" s="35">
        <v>1490038.73</v>
      </c>
      <c r="J383" s="90">
        <f t="shared" si="123"/>
        <v>0.5394672410696959</v>
      </c>
      <c r="K383" s="90">
        <f t="shared" si="117"/>
        <v>5.1695767181423324E-3</v>
      </c>
      <c r="L383" s="36">
        <f t="shared" si="134"/>
        <v>109010.72999999998</v>
      </c>
    </row>
    <row r="384" spans="1:12" ht="17.25" customHeight="1" x14ac:dyDescent="0.25">
      <c r="A384" s="32"/>
      <c r="B384" s="37"/>
      <c r="C384" s="39" t="s">
        <v>330</v>
      </c>
      <c r="D384" s="88" t="s">
        <v>320</v>
      </c>
      <c r="E384" s="34"/>
      <c r="F384" s="89" t="s">
        <v>262</v>
      </c>
      <c r="G384" s="35">
        <v>596697</v>
      </c>
      <c r="H384" s="35">
        <v>596697</v>
      </c>
      <c r="I384" s="35">
        <v>0</v>
      </c>
      <c r="J384" s="90">
        <f t="shared" si="123"/>
        <v>0</v>
      </c>
      <c r="K384" s="90">
        <f t="shared" si="117"/>
        <v>0</v>
      </c>
      <c r="L384" s="36">
        <f t="shared" si="134"/>
        <v>-298348.5</v>
      </c>
    </row>
    <row r="385" spans="1:12" ht="15" x14ac:dyDescent="0.25">
      <c r="A385" s="32"/>
      <c r="B385" s="37"/>
      <c r="C385" s="39" t="s">
        <v>330</v>
      </c>
      <c r="D385" s="88" t="s">
        <v>320</v>
      </c>
      <c r="E385" s="34"/>
      <c r="F385" s="89" t="s">
        <v>263</v>
      </c>
      <c r="G385" s="35">
        <v>447024</v>
      </c>
      <c r="H385" s="35">
        <v>447024</v>
      </c>
      <c r="I385" s="35">
        <v>0</v>
      </c>
      <c r="J385" s="90">
        <f t="shared" si="123"/>
        <v>0</v>
      </c>
      <c r="K385" s="90">
        <f t="shared" si="117"/>
        <v>0</v>
      </c>
      <c r="L385" s="36">
        <f t="shared" si="134"/>
        <v>-223512</v>
      </c>
    </row>
    <row r="386" spans="1:12" ht="27" customHeight="1" x14ac:dyDescent="0.25">
      <c r="A386" s="40"/>
      <c r="B386" s="38"/>
      <c r="C386" s="39" t="s">
        <v>504</v>
      </c>
      <c r="D386" s="88" t="s">
        <v>320</v>
      </c>
      <c r="E386" s="34" t="s">
        <v>390</v>
      </c>
      <c r="F386" s="89" t="s">
        <v>468</v>
      </c>
      <c r="G386" s="35">
        <v>3100000</v>
      </c>
      <c r="H386" s="35">
        <v>3100000</v>
      </c>
      <c r="I386" s="35">
        <v>546166.17000000004</v>
      </c>
      <c r="J386" s="90">
        <f t="shared" si="123"/>
        <v>0.17618263548387098</v>
      </c>
      <c r="K386" s="90">
        <f t="shared" si="117"/>
        <v>1.8948822334765537E-3</v>
      </c>
      <c r="L386" s="36">
        <f t="shared" si="134"/>
        <v>-1003833.83</v>
      </c>
    </row>
    <row r="387" spans="1:12" s="2" customFormat="1" ht="15.75" x14ac:dyDescent="0.25">
      <c r="A387" s="76" t="s">
        <v>264</v>
      </c>
      <c r="B387" s="77"/>
      <c r="C387" s="164" t="s">
        <v>265</v>
      </c>
      <c r="D387" s="164"/>
      <c r="E387" s="164"/>
      <c r="F387" s="165"/>
      <c r="G387" s="92">
        <f>+G388+G390+G395+G397+G402</f>
        <v>3398040</v>
      </c>
      <c r="H387" s="92">
        <f t="shared" ref="H387:I387" si="138">+H388+H390+H395+H397+H402</f>
        <v>3358822</v>
      </c>
      <c r="I387" s="92">
        <f t="shared" si="138"/>
        <v>1720466.8</v>
      </c>
      <c r="J387" s="93">
        <f t="shared" si="123"/>
        <v>0.51222327351672703</v>
      </c>
      <c r="K387" s="93">
        <f t="shared" si="117"/>
        <v>5.9690294853052854E-3</v>
      </c>
      <c r="L387" s="92">
        <f t="shared" ref="L387" si="139">+L388+L390+L395+L397+L402</f>
        <v>41055.799999999959</v>
      </c>
    </row>
    <row r="388" spans="1:12" s="1" customFormat="1" x14ac:dyDescent="0.25">
      <c r="A388" s="31"/>
      <c r="B388" s="81" t="s">
        <v>375</v>
      </c>
      <c r="C388" s="82"/>
      <c r="D388" s="82"/>
      <c r="E388" s="82"/>
      <c r="F388" s="83" t="s">
        <v>266</v>
      </c>
      <c r="G388" s="84">
        <f>+G389</f>
        <v>1487966</v>
      </c>
      <c r="H388" s="84">
        <f t="shared" ref="H388:I388" si="140">+H389</f>
        <v>1486769</v>
      </c>
      <c r="I388" s="84">
        <f t="shared" si="140"/>
        <v>792816.22</v>
      </c>
      <c r="J388" s="85">
        <f t="shared" si="123"/>
        <v>0.53324774729631841</v>
      </c>
      <c r="K388" s="85">
        <f t="shared" si="117"/>
        <v>2.7506159337734861E-3</v>
      </c>
      <c r="L388" s="86">
        <f>+I388-H388*50%</f>
        <v>49431.719999999972</v>
      </c>
    </row>
    <row r="389" spans="1:12" ht="25.5" x14ac:dyDescent="0.25">
      <c r="A389" s="32"/>
      <c r="B389" s="33"/>
      <c r="C389" s="110" t="s">
        <v>377</v>
      </c>
      <c r="D389" s="88" t="s">
        <v>320</v>
      </c>
      <c r="E389" s="34"/>
      <c r="F389" s="89" t="s">
        <v>267</v>
      </c>
      <c r="G389" s="35">
        <v>1487966</v>
      </c>
      <c r="H389" s="35">
        <v>1486769</v>
      </c>
      <c r="I389" s="35">
        <v>792816.22</v>
      </c>
      <c r="J389" s="90">
        <f t="shared" si="123"/>
        <v>0.53324774729631841</v>
      </c>
      <c r="K389" s="90">
        <f t="shared" si="117"/>
        <v>2.7506159337734861E-3</v>
      </c>
      <c r="L389" s="36">
        <f t="shared" ref="L389" si="141">+I389-H389*50%</f>
        <v>49431.719999999972</v>
      </c>
    </row>
    <row r="390" spans="1:12" s="1" customFormat="1" x14ac:dyDescent="0.25">
      <c r="A390" s="31"/>
      <c r="B390" s="81" t="s">
        <v>376</v>
      </c>
      <c r="C390" s="108"/>
      <c r="D390" s="82"/>
      <c r="E390" s="82"/>
      <c r="F390" s="83" t="s">
        <v>268</v>
      </c>
      <c r="G390" s="84">
        <f>+G391+G392+G393+G394</f>
        <v>1835116</v>
      </c>
      <c r="H390" s="84">
        <f t="shared" ref="H390:I390" si="142">+H391+H392+H393+H394</f>
        <v>1797287</v>
      </c>
      <c r="I390" s="84">
        <f t="shared" si="142"/>
        <v>925045.98</v>
      </c>
      <c r="J390" s="85">
        <f t="shared" si="123"/>
        <v>0.51469018581895931</v>
      </c>
      <c r="K390" s="85">
        <f t="shared" si="117"/>
        <v>3.2093770887547052E-3</v>
      </c>
      <c r="L390" s="86">
        <f>+I390-H390*50%</f>
        <v>26402.479999999981</v>
      </c>
    </row>
    <row r="391" spans="1:12" ht="25.5" x14ac:dyDescent="0.25">
      <c r="A391" s="32"/>
      <c r="B391" s="44"/>
      <c r="C391" s="110" t="s">
        <v>381</v>
      </c>
      <c r="D391" s="88" t="s">
        <v>320</v>
      </c>
      <c r="E391" s="34"/>
      <c r="F391" s="89" t="s">
        <v>192</v>
      </c>
      <c r="G391" s="35">
        <v>514</v>
      </c>
      <c r="H391" s="35">
        <v>514</v>
      </c>
      <c r="I391" s="35">
        <v>0</v>
      </c>
      <c r="J391" s="90">
        <f t="shared" si="123"/>
        <v>0</v>
      </c>
      <c r="K391" s="90">
        <f t="shared" si="117"/>
        <v>0</v>
      </c>
      <c r="L391" s="36">
        <f t="shared" ref="L391:L405" si="143">+I391-H391*50%</f>
        <v>-257</v>
      </c>
    </row>
    <row r="392" spans="1:12" ht="25.5" x14ac:dyDescent="0.25">
      <c r="A392" s="32"/>
      <c r="B392" s="37"/>
      <c r="C392" s="110" t="s">
        <v>381</v>
      </c>
      <c r="D392" s="88" t="s">
        <v>320</v>
      </c>
      <c r="E392" s="34"/>
      <c r="F392" s="89" t="s">
        <v>269</v>
      </c>
      <c r="G392" s="35">
        <v>233882</v>
      </c>
      <c r="H392" s="35">
        <v>232362</v>
      </c>
      <c r="I392" s="35">
        <v>129751.23</v>
      </c>
      <c r="J392" s="90">
        <f t="shared" si="123"/>
        <v>0.55840124460970386</v>
      </c>
      <c r="K392" s="90">
        <f t="shared" si="117"/>
        <v>4.5016208253749956E-4</v>
      </c>
      <c r="L392" s="36">
        <f t="shared" si="143"/>
        <v>13570.229999999996</v>
      </c>
    </row>
    <row r="393" spans="1:12" ht="27.75" customHeight="1" x14ac:dyDescent="0.25">
      <c r="A393" s="32"/>
      <c r="B393" s="37"/>
      <c r="C393" s="110" t="s">
        <v>378</v>
      </c>
      <c r="D393" s="88" t="s">
        <v>320</v>
      </c>
      <c r="E393" s="34"/>
      <c r="F393" s="89" t="s">
        <v>270</v>
      </c>
      <c r="G393" s="35">
        <v>538552</v>
      </c>
      <c r="H393" s="35">
        <v>532510</v>
      </c>
      <c r="I393" s="35">
        <v>262540.07</v>
      </c>
      <c r="J393" s="90">
        <f t="shared" si="123"/>
        <v>0.49302373664344334</v>
      </c>
      <c r="K393" s="90">
        <f t="shared" si="117"/>
        <v>9.1086292330901921E-4</v>
      </c>
      <c r="L393" s="36">
        <f t="shared" si="143"/>
        <v>-3714.929999999993</v>
      </c>
    </row>
    <row r="394" spans="1:12" ht="21" customHeight="1" x14ac:dyDescent="0.25">
      <c r="A394" s="32"/>
      <c r="B394" s="134"/>
      <c r="C394" s="110" t="s">
        <v>380</v>
      </c>
      <c r="D394" s="88" t="s">
        <v>320</v>
      </c>
      <c r="E394" s="34"/>
      <c r="F394" s="89" t="s">
        <v>271</v>
      </c>
      <c r="G394" s="35">
        <v>1062168</v>
      </c>
      <c r="H394" s="35">
        <v>1031901</v>
      </c>
      <c r="I394" s="35">
        <v>532754.68000000005</v>
      </c>
      <c r="J394" s="90">
        <f t="shared" si="123"/>
        <v>0.51628468234840363</v>
      </c>
      <c r="K394" s="90">
        <f t="shared" si="117"/>
        <v>1.8483520829081865E-3</v>
      </c>
      <c r="L394" s="36">
        <f t="shared" si="143"/>
        <v>16804.180000000051</v>
      </c>
    </row>
    <row r="395" spans="1:12" s="1" customFormat="1" x14ac:dyDescent="0.25">
      <c r="A395" s="31"/>
      <c r="B395" s="104">
        <v>85415</v>
      </c>
      <c r="C395" s="108"/>
      <c r="D395" s="82"/>
      <c r="E395" s="82"/>
      <c r="F395" s="83" t="s">
        <v>272</v>
      </c>
      <c r="G395" s="84">
        <f>+G396</f>
        <v>3831</v>
      </c>
      <c r="H395" s="84">
        <f t="shared" ref="H395:I395" si="144">+H396</f>
        <v>3639</v>
      </c>
      <c r="I395" s="84">
        <f t="shared" si="144"/>
        <v>1894</v>
      </c>
      <c r="J395" s="85">
        <f t="shared" si="123"/>
        <v>0.5204726573234405</v>
      </c>
      <c r="K395" s="85">
        <f t="shared" si="117"/>
        <v>6.5710898025862583E-6</v>
      </c>
      <c r="L395" s="86">
        <f>+I395-H395*50%</f>
        <v>74.5</v>
      </c>
    </row>
    <row r="396" spans="1:12" ht="30" customHeight="1" x14ac:dyDescent="0.25">
      <c r="A396" s="32"/>
      <c r="B396" s="33"/>
      <c r="C396" s="106" t="s">
        <v>381</v>
      </c>
      <c r="D396" s="88" t="s">
        <v>320</v>
      </c>
      <c r="E396" s="34"/>
      <c r="F396" s="89" t="s">
        <v>273</v>
      </c>
      <c r="G396" s="35">
        <v>3831</v>
      </c>
      <c r="H396" s="35">
        <v>3639</v>
      </c>
      <c r="I396" s="35">
        <v>1894</v>
      </c>
      <c r="J396" s="90">
        <f t="shared" si="123"/>
        <v>0.5204726573234405</v>
      </c>
      <c r="K396" s="90">
        <f t="shared" si="117"/>
        <v>6.5710898025862583E-6</v>
      </c>
      <c r="L396" s="36">
        <f t="shared" si="143"/>
        <v>74.5</v>
      </c>
    </row>
    <row r="397" spans="1:12" s="1" customFormat="1" x14ac:dyDescent="0.25">
      <c r="A397" s="31"/>
      <c r="B397" s="81">
        <v>85446</v>
      </c>
      <c r="C397" s="82"/>
      <c r="D397" s="82"/>
      <c r="E397" s="82"/>
      <c r="F397" s="83" t="s">
        <v>193</v>
      </c>
      <c r="G397" s="84">
        <f>+G398+G399+G400+G401</f>
        <v>13532</v>
      </c>
      <c r="H397" s="84">
        <f t="shared" ref="H397:I397" si="145">+H398+H399+H400+H401</f>
        <v>13532</v>
      </c>
      <c r="I397" s="84">
        <f t="shared" si="145"/>
        <v>710.6</v>
      </c>
      <c r="J397" s="85">
        <f t="shared" si="123"/>
        <v>5.2512562814070352E-2</v>
      </c>
      <c r="K397" s="85">
        <f t="shared" si="117"/>
        <v>2.4653729745078117E-6</v>
      </c>
      <c r="L397" s="86">
        <f>+I397-H397*50%</f>
        <v>-6055.4</v>
      </c>
    </row>
    <row r="398" spans="1:12" s="1" customFormat="1" ht="22.5" x14ac:dyDescent="0.25">
      <c r="A398" s="31"/>
      <c r="B398" s="37"/>
      <c r="C398" s="106" t="s">
        <v>377</v>
      </c>
      <c r="D398" s="88" t="s">
        <v>320</v>
      </c>
      <c r="E398" s="34"/>
      <c r="F398" s="89" t="s">
        <v>195</v>
      </c>
      <c r="G398" s="35">
        <v>0</v>
      </c>
      <c r="H398" s="35">
        <v>5000</v>
      </c>
      <c r="I398" s="35">
        <v>303.60000000000002</v>
      </c>
      <c r="J398" s="90">
        <f t="shared" si="123"/>
        <v>6.0720000000000003E-2</v>
      </c>
      <c r="K398" s="90">
        <f t="shared" si="117"/>
        <v>1.0533172460745449E-6</v>
      </c>
      <c r="L398" s="36">
        <f t="shared" si="143"/>
        <v>-2196.4</v>
      </c>
    </row>
    <row r="399" spans="1:12" s="1" customFormat="1" ht="25.5" customHeight="1" x14ac:dyDescent="0.25">
      <c r="A399" s="31"/>
      <c r="B399" s="37"/>
      <c r="C399" s="110" t="s">
        <v>378</v>
      </c>
      <c r="D399" s="88" t="s">
        <v>320</v>
      </c>
      <c r="E399" s="34"/>
      <c r="F399" s="89" t="s">
        <v>195</v>
      </c>
      <c r="G399" s="35">
        <v>0</v>
      </c>
      <c r="H399" s="35">
        <v>3550</v>
      </c>
      <c r="I399" s="35">
        <v>407</v>
      </c>
      <c r="J399" s="90"/>
      <c r="K399" s="90"/>
      <c r="L399" s="36">
        <f t="shared" si="143"/>
        <v>-1368</v>
      </c>
    </row>
    <row r="400" spans="1:12" s="1" customFormat="1" ht="25.5" x14ac:dyDescent="0.25">
      <c r="A400" s="31"/>
      <c r="B400" s="37"/>
      <c r="C400" s="110" t="s">
        <v>380</v>
      </c>
      <c r="D400" s="88" t="s">
        <v>320</v>
      </c>
      <c r="E400" s="34"/>
      <c r="F400" s="89" t="s">
        <v>195</v>
      </c>
      <c r="G400" s="35">
        <v>0</v>
      </c>
      <c r="H400" s="35">
        <v>2474</v>
      </c>
      <c r="I400" s="35">
        <v>0</v>
      </c>
      <c r="J400" s="90"/>
      <c r="K400" s="90"/>
      <c r="L400" s="36">
        <f t="shared" si="143"/>
        <v>-1237</v>
      </c>
    </row>
    <row r="401" spans="1:12" ht="15" x14ac:dyDescent="0.25">
      <c r="A401" s="32"/>
      <c r="B401" s="37"/>
      <c r="C401" s="39" t="s">
        <v>499</v>
      </c>
      <c r="D401" s="88" t="s">
        <v>320</v>
      </c>
      <c r="E401" s="34"/>
      <c r="F401" s="89" t="s">
        <v>195</v>
      </c>
      <c r="G401" s="35">
        <v>13532</v>
      </c>
      <c r="H401" s="35">
        <v>2508</v>
      </c>
      <c r="I401" s="35">
        <v>0</v>
      </c>
      <c r="J401" s="90">
        <f t="shared" si="123"/>
        <v>0</v>
      </c>
      <c r="K401" s="90">
        <f t="shared" si="117"/>
        <v>0</v>
      </c>
      <c r="L401" s="36">
        <f t="shared" si="143"/>
        <v>-1254</v>
      </c>
    </row>
    <row r="402" spans="1:12" s="1" customFormat="1" x14ac:dyDescent="0.25">
      <c r="A402" s="31"/>
      <c r="B402" s="81">
        <v>85495</v>
      </c>
      <c r="C402" s="82"/>
      <c r="D402" s="82"/>
      <c r="E402" s="82"/>
      <c r="F402" s="83" t="s">
        <v>18</v>
      </c>
      <c r="G402" s="84">
        <f>+G403+G404+G405</f>
        <v>57595</v>
      </c>
      <c r="H402" s="84">
        <f t="shared" ref="H402:I402" si="146">+H403+H404+H405</f>
        <v>57595</v>
      </c>
      <c r="I402" s="84">
        <f t="shared" si="146"/>
        <v>0</v>
      </c>
      <c r="J402" s="85">
        <f t="shared" si="123"/>
        <v>0</v>
      </c>
      <c r="K402" s="85">
        <f t="shared" si="117"/>
        <v>0</v>
      </c>
      <c r="L402" s="86">
        <f>+I402-H402*50%</f>
        <v>-28797.5</v>
      </c>
    </row>
    <row r="403" spans="1:12" ht="15" x14ac:dyDescent="0.25">
      <c r="A403" s="32"/>
      <c r="B403" s="44"/>
      <c r="C403" s="39" t="s">
        <v>499</v>
      </c>
      <c r="D403" s="88" t="s">
        <v>320</v>
      </c>
      <c r="E403" s="34"/>
      <c r="F403" s="89" t="s">
        <v>200</v>
      </c>
      <c r="G403" s="35">
        <v>50000</v>
      </c>
      <c r="H403" s="35">
        <v>50000</v>
      </c>
      <c r="I403" s="35">
        <v>0</v>
      </c>
      <c r="J403" s="90">
        <f t="shared" si="123"/>
        <v>0</v>
      </c>
      <c r="K403" s="90">
        <f t="shared" si="117"/>
        <v>0</v>
      </c>
      <c r="L403" s="36">
        <f t="shared" si="143"/>
        <v>-25000</v>
      </c>
    </row>
    <row r="404" spans="1:12" ht="15" x14ac:dyDescent="0.25">
      <c r="A404" s="32"/>
      <c r="B404" s="37"/>
      <c r="C404" s="39" t="s">
        <v>499</v>
      </c>
      <c r="D404" s="88" t="s">
        <v>320</v>
      </c>
      <c r="E404" s="34"/>
      <c r="F404" s="89" t="s">
        <v>201</v>
      </c>
      <c r="G404" s="35">
        <v>3535</v>
      </c>
      <c r="H404" s="35">
        <v>3535</v>
      </c>
      <c r="I404" s="35">
        <v>0</v>
      </c>
      <c r="J404" s="90">
        <f t="shared" si="123"/>
        <v>0</v>
      </c>
      <c r="K404" s="90">
        <f t="shared" si="117"/>
        <v>0</v>
      </c>
      <c r="L404" s="36">
        <f t="shared" si="143"/>
        <v>-1767.5</v>
      </c>
    </row>
    <row r="405" spans="1:12" ht="25.5" x14ac:dyDescent="0.25">
      <c r="A405" s="40"/>
      <c r="B405" s="38"/>
      <c r="C405" s="39" t="s">
        <v>499</v>
      </c>
      <c r="D405" s="88" t="s">
        <v>320</v>
      </c>
      <c r="E405" s="34"/>
      <c r="F405" s="89" t="s">
        <v>182</v>
      </c>
      <c r="G405" s="35">
        <v>4060</v>
      </c>
      <c r="H405" s="35">
        <v>4060</v>
      </c>
      <c r="I405" s="35">
        <v>0</v>
      </c>
      <c r="J405" s="90">
        <f t="shared" si="123"/>
        <v>0</v>
      </c>
      <c r="K405" s="90">
        <f t="shared" si="117"/>
        <v>0</v>
      </c>
      <c r="L405" s="36">
        <f t="shared" si="143"/>
        <v>-2030</v>
      </c>
    </row>
    <row r="406" spans="1:12" s="2" customFormat="1" ht="18" customHeight="1" x14ac:dyDescent="0.25">
      <c r="A406" s="76" t="s">
        <v>274</v>
      </c>
      <c r="B406" s="77"/>
      <c r="C406" s="164" t="s">
        <v>275</v>
      </c>
      <c r="D406" s="164"/>
      <c r="E406" s="164"/>
      <c r="F406" s="165"/>
      <c r="G406" s="92">
        <f>+G407+G409+G413+G415+G417</f>
        <v>608487</v>
      </c>
      <c r="H406" s="92">
        <f>+H407+H409+H413+H415+H417</f>
        <v>1937196</v>
      </c>
      <c r="I406" s="92">
        <f>+I407+I409+I413+I415+I417</f>
        <v>1340090.76</v>
      </c>
      <c r="J406" s="93">
        <f t="shared" si="123"/>
        <v>0.69176828777263633</v>
      </c>
      <c r="K406" s="93">
        <f t="shared" ref="K406:K473" si="147">I406/$I$9</f>
        <v>4.6493435731658232E-3</v>
      </c>
      <c r="L406" s="92">
        <f>+L407+L409+L413+L415+L417</f>
        <v>371492.76000000013</v>
      </c>
    </row>
    <row r="407" spans="1:12" s="1" customFormat="1" x14ac:dyDescent="0.25">
      <c r="A407" s="31"/>
      <c r="B407" s="81">
        <v>90001</v>
      </c>
      <c r="C407" s="82"/>
      <c r="D407" s="82"/>
      <c r="E407" s="82"/>
      <c r="F407" s="83" t="s">
        <v>276</v>
      </c>
      <c r="G407" s="84">
        <f>+G408</f>
        <v>20000</v>
      </c>
      <c r="H407" s="84">
        <f t="shared" ref="H407:I407" si="148">+H408</f>
        <v>20000</v>
      </c>
      <c r="I407" s="84">
        <f t="shared" si="148"/>
        <v>0</v>
      </c>
      <c r="J407" s="85">
        <f>I407/H407</f>
        <v>0</v>
      </c>
      <c r="K407" s="85">
        <f>I407/$I$9</f>
        <v>0</v>
      </c>
      <c r="L407" s="86">
        <f>+I407-H407*50%</f>
        <v>-10000</v>
      </c>
    </row>
    <row r="408" spans="1:12" ht="15" x14ac:dyDescent="0.25">
      <c r="A408" s="32"/>
      <c r="B408" s="33"/>
      <c r="C408" s="39" t="s">
        <v>493</v>
      </c>
      <c r="D408" s="88" t="s">
        <v>320</v>
      </c>
      <c r="E408" s="34"/>
      <c r="F408" s="89" t="s">
        <v>277</v>
      </c>
      <c r="G408" s="35">
        <v>20000</v>
      </c>
      <c r="H408" s="35">
        <v>20000</v>
      </c>
      <c r="I408" s="35">
        <v>0</v>
      </c>
      <c r="J408" s="90">
        <f>I408/H408</f>
        <v>0</v>
      </c>
      <c r="K408" s="90">
        <f>I408/$I$9</f>
        <v>0</v>
      </c>
      <c r="L408" s="36">
        <f t="shared" ref="L408" si="149">+I408-H408*50%</f>
        <v>-10000</v>
      </c>
    </row>
    <row r="409" spans="1:12" s="1" customFormat="1" x14ac:dyDescent="0.25">
      <c r="A409" s="31"/>
      <c r="B409" s="81">
        <v>90002</v>
      </c>
      <c r="C409" s="82"/>
      <c r="D409" s="82"/>
      <c r="E409" s="82"/>
      <c r="F409" s="83" t="s">
        <v>278</v>
      </c>
      <c r="G409" s="84">
        <f>+G410+G411+G412</f>
        <v>200000</v>
      </c>
      <c r="H409" s="84">
        <f t="shared" ref="H409:I409" si="150">+H410+H411+H412</f>
        <v>1515209</v>
      </c>
      <c r="I409" s="84">
        <f t="shared" si="150"/>
        <v>1315564.3500000001</v>
      </c>
      <c r="J409" s="85">
        <f t="shared" si="123"/>
        <v>0.8682395299922322</v>
      </c>
      <c r="K409" s="85">
        <f t="shared" si="147"/>
        <v>4.5642510480100422E-3</v>
      </c>
      <c r="L409" s="86">
        <f>+I409-H409*50%</f>
        <v>557959.85000000009</v>
      </c>
    </row>
    <row r="410" spans="1:12" ht="25.5" x14ac:dyDescent="0.25">
      <c r="A410" s="32"/>
      <c r="B410" s="44"/>
      <c r="C410" s="39" t="s">
        <v>493</v>
      </c>
      <c r="D410" s="88" t="s">
        <v>320</v>
      </c>
      <c r="E410" s="34"/>
      <c r="F410" s="89" t="s">
        <v>279</v>
      </c>
      <c r="G410" s="35">
        <v>200000</v>
      </c>
      <c r="H410" s="35">
        <v>200000</v>
      </c>
      <c r="I410" s="35">
        <v>1476</v>
      </c>
      <c r="J410" s="90">
        <f t="shared" si="123"/>
        <v>7.3800000000000003E-3</v>
      </c>
      <c r="K410" s="90">
        <f t="shared" si="147"/>
        <v>5.120870405816957E-6</v>
      </c>
      <c r="L410" s="36">
        <f t="shared" ref="L410:L421" si="151">+I410-H410*50%</f>
        <v>-98524</v>
      </c>
    </row>
    <row r="411" spans="1:12" ht="15" x14ac:dyDescent="0.25">
      <c r="A411" s="32"/>
      <c r="B411" s="37"/>
      <c r="C411" s="39" t="s">
        <v>493</v>
      </c>
      <c r="D411" s="88" t="s">
        <v>320</v>
      </c>
      <c r="E411" s="34"/>
      <c r="F411" s="89" t="s">
        <v>277</v>
      </c>
      <c r="G411" s="35">
        <v>0</v>
      </c>
      <c r="H411" s="35">
        <v>1500</v>
      </c>
      <c r="I411" s="35">
        <v>380</v>
      </c>
      <c r="J411" s="90">
        <f t="shared" si="123"/>
        <v>0.25333333333333335</v>
      </c>
      <c r="K411" s="90">
        <f t="shared" si="147"/>
        <v>1.3183812697902736E-6</v>
      </c>
      <c r="L411" s="36">
        <f t="shared" si="151"/>
        <v>-370</v>
      </c>
    </row>
    <row r="412" spans="1:12" ht="38.25" x14ac:dyDescent="0.25">
      <c r="A412" s="32"/>
      <c r="B412" s="38"/>
      <c r="C412" s="39" t="s">
        <v>493</v>
      </c>
      <c r="D412" s="88" t="s">
        <v>323</v>
      </c>
      <c r="E412" s="34" t="s">
        <v>390</v>
      </c>
      <c r="F412" s="89" t="s">
        <v>469</v>
      </c>
      <c r="G412" s="35">
        <v>0</v>
      </c>
      <c r="H412" s="35">
        <v>1313709</v>
      </c>
      <c r="I412" s="35">
        <v>1313708.3500000001</v>
      </c>
      <c r="J412" s="90">
        <f t="shared" ref="J412:J454" si="152">I412/H412</f>
        <v>0.99999950521767</v>
      </c>
      <c r="K412" s="90">
        <f t="shared" si="147"/>
        <v>4.5578117963344343E-3</v>
      </c>
      <c r="L412" s="36">
        <f t="shared" si="151"/>
        <v>656853.85000000009</v>
      </c>
    </row>
    <row r="413" spans="1:12" s="1" customFormat="1" ht="18.75" customHeight="1" x14ac:dyDescent="0.25">
      <c r="A413" s="31"/>
      <c r="B413" s="81">
        <v>90005</v>
      </c>
      <c r="C413" s="82"/>
      <c r="D413" s="82"/>
      <c r="E413" s="82"/>
      <c r="F413" s="83" t="s">
        <v>280</v>
      </c>
      <c r="G413" s="84">
        <f>+G414</f>
        <v>10500</v>
      </c>
      <c r="H413" s="84">
        <f t="shared" ref="H413:I413" si="153">+H414</f>
        <v>10500</v>
      </c>
      <c r="I413" s="84">
        <f t="shared" si="153"/>
        <v>0</v>
      </c>
      <c r="J413" s="85">
        <f t="shared" si="152"/>
        <v>0</v>
      </c>
      <c r="K413" s="85">
        <f t="shared" si="147"/>
        <v>0</v>
      </c>
      <c r="L413" s="84">
        <f>+L414</f>
        <v>-5250</v>
      </c>
    </row>
    <row r="414" spans="1:12" ht="17.25" customHeight="1" x14ac:dyDescent="0.25">
      <c r="A414" s="32"/>
      <c r="B414" s="33"/>
      <c r="C414" s="39" t="s">
        <v>493</v>
      </c>
      <c r="D414" s="34" t="s">
        <v>320</v>
      </c>
      <c r="E414" s="34"/>
      <c r="F414" s="89" t="s">
        <v>280</v>
      </c>
      <c r="G414" s="35">
        <v>10500</v>
      </c>
      <c r="H414" s="35">
        <v>10500</v>
      </c>
      <c r="I414" s="35">
        <v>0</v>
      </c>
      <c r="J414" s="90">
        <f t="shared" si="152"/>
        <v>0</v>
      </c>
      <c r="K414" s="90">
        <f t="shared" si="147"/>
        <v>0</v>
      </c>
      <c r="L414" s="36">
        <f t="shared" si="151"/>
        <v>-5250</v>
      </c>
    </row>
    <row r="415" spans="1:12" s="1" customFormat="1" ht="27" customHeight="1" x14ac:dyDescent="0.25">
      <c r="A415" s="31"/>
      <c r="B415" s="81">
        <v>90020</v>
      </c>
      <c r="C415" s="82"/>
      <c r="D415" s="82"/>
      <c r="E415" s="82"/>
      <c r="F415" s="83" t="s">
        <v>281</v>
      </c>
      <c r="G415" s="84">
        <f>+G416</f>
        <v>1000</v>
      </c>
      <c r="H415" s="84">
        <f t="shared" ref="H415:I415" si="154">+H416</f>
        <v>1000</v>
      </c>
      <c r="I415" s="84">
        <f t="shared" si="154"/>
        <v>0</v>
      </c>
      <c r="J415" s="85">
        <f t="shared" si="152"/>
        <v>0</v>
      </c>
      <c r="K415" s="85">
        <f t="shared" si="147"/>
        <v>0</v>
      </c>
      <c r="L415" s="84">
        <f>+L416</f>
        <v>-500</v>
      </c>
    </row>
    <row r="416" spans="1:12" ht="20.25" customHeight="1" x14ac:dyDescent="0.25">
      <c r="A416" s="32"/>
      <c r="B416" s="33"/>
      <c r="C416" s="39" t="s">
        <v>493</v>
      </c>
      <c r="D416" s="34" t="s">
        <v>320</v>
      </c>
      <c r="E416" s="34"/>
      <c r="F416" s="89" t="s">
        <v>282</v>
      </c>
      <c r="G416" s="35">
        <v>1000</v>
      </c>
      <c r="H416" s="35">
        <v>1000</v>
      </c>
      <c r="I416" s="35">
        <v>0</v>
      </c>
      <c r="J416" s="90">
        <f t="shared" si="152"/>
        <v>0</v>
      </c>
      <c r="K416" s="90">
        <f t="shared" si="147"/>
        <v>0</v>
      </c>
      <c r="L416" s="36">
        <f t="shared" si="151"/>
        <v>-500</v>
      </c>
    </row>
    <row r="417" spans="1:12" s="1" customFormat="1" x14ac:dyDescent="0.25">
      <c r="A417" s="31"/>
      <c r="B417" s="81">
        <v>90095</v>
      </c>
      <c r="C417" s="82"/>
      <c r="D417" s="82"/>
      <c r="E417" s="82"/>
      <c r="F417" s="83" t="s">
        <v>18</v>
      </c>
      <c r="G417" s="84">
        <f>SUM(G418:G421)</f>
        <v>376987</v>
      </c>
      <c r="H417" s="84">
        <f t="shared" ref="H417:I417" si="155">SUM(H418:H421)</f>
        <v>390487</v>
      </c>
      <c r="I417" s="84">
        <f t="shared" si="155"/>
        <v>24526.41</v>
      </c>
      <c r="J417" s="85">
        <f t="shared" si="152"/>
        <v>6.2809799045806899E-2</v>
      </c>
      <c r="K417" s="85">
        <f t="shared" si="147"/>
        <v>8.5092525155781211E-5</v>
      </c>
      <c r="L417" s="84">
        <f t="shared" ref="L417" si="156">SUM(L418:L421)</f>
        <v>-170717.09</v>
      </c>
    </row>
    <row r="418" spans="1:12" ht="36.75" customHeight="1" x14ac:dyDescent="0.25">
      <c r="A418" s="32"/>
      <c r="B418" s="37"/>
      <c r="C418" s="39" t="s">
        <v>493</v>
      </c>
      <c r="D418" s="34" t="s">
        <v>320</v>
      </c>
      <c r="E418" s="34"/>
      <c r="F418" s="89" t="s">
        <v>283</v>
      </c>
      <c r="G418" s="35">
        <v>50000</v>
      </c>
      <c r="H418" s="35">
        <v>50000</v>
      </c>
      <c r="I418" s="35">
        <v>0</v>
      </c>
      <c r="J418" s="90">
        <f t="shared" si="152"/>
        <v>0</v>
      </c>
      <c r="K418" s="90">
        <f t="shared" si="147"/>
        <v>0</v>
      </c>
      <c r="L418" s="36">
        <f t="shared" si="151"/>
        <v>-25000</v>
      </c>
    </row>
    <row r="419" spans="1:12" ht="25.5" x14ac:dyDescent="0.25">
      <c r="A419" s="32"/>
      <c r="B419" s="37"/>
      <c r="C419" s="39" t="s">
        <v>493</v>
      </c>
      <c r="D419" s="34" t="s">
        <v>320</v>
      </c>
      <c r="E419" s="34"/>
      <c r="F419" s="89" t="s">
        <v>284</v>
      </c>
      <c r="G419" s="35">
        <v>155000</v>
      </c>
      <c r="H419" s="35">
        <v>155000</v>
      </c>
      <c r="I419" s="35">
        <v>9900</v>
      </c>
      <c r="J419" s="90">
        <f t="shared" si="152"/>
        <v>6.3870967741935486E-2</v>
      </c>
      <c r="K419" s="90">
        <f t="shared" si="147"/>
        <v>3.4347301502430811E-5</v>
      </c>
      <c r="L419" s="36">
        <f t="shared" si="151"/>
        <v>-67600</v>
      </c>
    </row>
    <row r="420" spans="1:12" ht="25.5" x14ac:dyDescent="0.25">
      <c r="A420" s="32"/>
      <c r="B420" s="37"/>
      <c r="C420" s="39" t="s">
        <v>493</v>
      </c>
      <c r="D420" s="34" t="s">
        <v>320</v>
      </c>
      <c r="E420" s="34"/>
      <c r="F420" s="89" t="s">
        <v>285</v>
      </c>
      <c r="G420" s="35">
        <v>116487</v>
      </c>
      <c r="H420" s="35">
        <v>116487</v>
      </c>
      <c r="I420" s="35">
        <v>0</v>
      </c>
      <c r="J420" s="90">
        <f t="shared" si="152"/>
        <v>0</v>
      </c>
      <c r="K420" s="90">
        <f t="shared" si="147"/>
        <v>0</v>
      </c>
      <c r="L420" s="36">
        <f t="shared" si="151"/>
        <v>-58243.5</v>
      </c>
    </row>
    <row r="421" spans="1:12" ht="18" customHeight="1" x14ac:dyDescent="0.25">
      <c r="A421" s="40"/>
      <c r="B421" s="38"/>
      <c r="C421" s="39" t="s">
        <v>493</v>
      </c>
      <c r="D421" s="34" t="s">
        <v>320</v>
      </c>
      <c r="E421" s="34"/>
      <c r="F421" s="89" t="s">
        <v>277</v>
      </c>
      <c r="G421" s="35">
        <v>55500</v>
      </c>
      <c r="H421" s="35">
        <v>69000</v>
      </c>
      <c r="I421" s="35">
        <v>14626.41</v>
      </c>
      <c r="J421" s="90">
        <f t="shared" si="152"/>
        <v>0.21197695652173912</v>
      </c>
      <c r="K421" s="90">
        <f t="shared" si="147"/>
        <v>5.0745223653350407E-5</v>
      </c>
      <c r="L421" s="36">
        <f t="shared" si="151"/>
        <v>-19873.59</v>
      </c>
    </row>
    <row r="422" spans="1:12" s="2" customFormat="1" ht="18.75" customHeight="1" x14ac:dyDescent="0.25">
      <c r="A422" s="76" t="s">
        <v>286</v>
      </c>
      <c r="B422" s="77"/>
      <c r="C422" s="164" t="s">
        <v>287</v>
      </c>
      <c r="D422" s="164"/>
      <c r="E422" s="164"/>
      <c r="F422" s="165"/>
      <c r="G422" s="92">
        <f>+G423+G425+G433+G435+G445+G449+G456+G458+G460</f>
        <v>58617392</v>
      </c>
      <c r="H422" s="92">
        <f t="shared" ref="H422:I422" si="157">+H423+H425+H433+H435+H445+H449+H456+H458+H460</f>
        <v>60382590</v>
      </c>
      <c r="I422" s="92">
        <f t="shared" si="157"/>
        <v>25223619.690000001</v>
      </c>
      <c r="J422" s="93">
        <f t="shared" si="152"/>
        <v>0.41773000611600136</v>
      </c>
      <c r="K422" s="93">
        <f t="shared" si="147"/>
        <v>8.751144146212933E-2</v>
      </c>
      <c r="L422" s="92">
        <f>+L423+L425+L433+L435+L445+L449+L456+L458+L460</f>
        <v>-4967675.3100000005</v>
      </c>
    </row>
    <row r="423" spans="1:12" s="1" customFormat="1" x14ac:dyDescent="0.25">
      <c r="A423" s="31"/>
      <c r="B423" s="81">
        <v>92105</v>
      </c>
      <c r="C423" s="82"/>
      <c r="D423" s="82"/>
      <c r="E423" s="82"/>
      <c r="F423" s="83" t="s">
        <v>288</v>
      </c>
      <c r="G423" s="84">
        <f>+G424</f>
        <v>1012000</v>
      </c>
      <c r="H423" s="84">
        <f t="shared" ref="H423:I423" si="158">+H424</f>
        <v>885000</v>
      </c>
      <c r="I423" s="84">
        <f t="shared" si="158"/>
        <v>441271.36</v>
      </c>
      <c r="J423" s="85">
        <f t="shared" si="152"/>
        <v>0.49861170621468925</v>
      </c>
      <c r="K423" s="85">
        <f t="shared" si="147"/>
        <v>1.5309576208391601E-3</v>
      </c>
      <c r="L423" s="84">
        <f t="shared" ref="L423" si="159">+L424</f>
        <v>-1228.640000000014</v>
      </c>
    </row>
    <row r="424" spans="1:12" ht="15" x14ac:dyDescent="0.25">
      <c r="A424" s="32"/>
      <c r="B424" s="33"/>
      <c r="C424" s="39" t="s">
        <v>502</v>
      </c>
      <c r="D424" s="34" t="s">
        <v>320</v>
      </c>
      <c r="E424" s="34"/>
      <c r="F424" s="89" t="s">
        <v>288</v>
      </c>
      <c r="G424" s="35">
        <v>1012000</v>
      </c>
      <c r="H424" s="35">
        <v>885000</v>
      </c>
      <c r="I424" s="35">
        <v>441271.36</v>
      </c>
      <c r="J424" s="90">
        <f t="shared" si="152"/>
        <v>0.49861170621468925</v>
      </c>
      <c r="K424" s="90">
        <f t="shared" si="147"/>
        <v>1.5309576208391601E-3</v>
      </c>
      <c r="L424" s="36">
        <f t="shared" ref="L424" si="160">+I424-H424*50%</f>
        <v>-1228.640000000014</v>
      </c>
    </row>
    <row r="425" spans="1:12" s="1" customFormat="1" x14ac:dyDescent="0.25">
      <c r="A425" s="31"/>
      <c r="B425" s="81">
        <v>92106</v>
      </c>
      <c r="C425" s="82"/>
      <c r="D425" s="82"/>
      <c r="E425" s="82"/>
      <c r="F425" s="83" t="s">
        <v>289</v>
      </c>
      <c r="G425" s="84">
        <f>SUM(G426:G432)</f>
        <v>26107997</v>
      </c>
      <c r="H425" s="84">
        <f>SUM(H426:H432)</f>
        <v>26692997</v>
      </c>
      <c r="I425" s="84">
        <f t="shared" ref="I425" si="161">SUM(I426:I432)</f>
        <v>10335511.07</v>
      </c>
      <c r="J425" s="85">
        <f t="shared" si="152"/>
        <v>0.38719934932746591</v>
      </c>
      <c r="K425" s="85">
        <f t="shared" si="147"/>
        <v>3.5858274232626393E-2</v>
      </c>
      <c r="L425" s="84">
        <f>SUM(L426:L432)</f>
        <v>-3010987.43</v>
      </c>
    </row>
    <row r="426" spans="1:12" ht="24" customHeight="1" x14ac:dyDescent="0.25">
      <c r="A426" s="32"/>
      <c r="B426" s="44"/>
      <c r="C426" s="39" t="s">
        <v>502</v>
      </c>
      <c r="D426" s="34" t="s">
        <v>320</v>
      </c>
      <c r="E426" s="34"/>
      <c r="F426" s="89" t="s">
        <v>290</v>
      </c>
      <c r="G426" s="35">
        <v>4930000</v>
      </c>
      <c r="H426" s="35">
        <v>4930000</v>
      </c>
      <c r="I426" s="35">
        <v>2592000</v>
      </c>
      <c r="J426" s="90">
        <f t="shared" si="152"/>
        <v>0.52576064908722109</v>
      </c>
      <c r="K426" s="90">
        <f t="shared" si="147"/>
        <v>8.9927480297273387E-3</v>
      </c>
      <c r="L426" s="36">
        <f t="shared" ref="L426:L462" si="162">+I426-H426*50%</f>
        <v>127000</v>
      </c>
    </row>
    <row r="427" spans="1:12" ht="21.75" customHeight="1" x14ac:dyDescent="0.25">
      <c r="A427" s="32"/>
      <c r="B427" s="37"/>
      <c r="C427" s="39" t="s">
        <v>502</v>
      </c>
      <c r="D427" s="34" t="s">
        <v>320</v>
      </c>
      <c r="E427" s="34"/>
      <c r="F427" s="89" t="s">
        <v>291</v>
      </c>
      <c r="G427" s="35">
        <v>9500000</v>
      </c>
      <c r="H427" s="35">
        <v>9530000</v>
      </c>
      <c r="I427" s="35">
        <v>5760000</v>
      </c>
      <c r="J427" s="90">
        <f t="shared" si="152"/>
        <v>0.60440713536201474</v>
      </c>
      <c r="K427" s="90">
        <f t="shared" si="147"/>
        <v>1.9983884510505198E-2</v>
      </c>
      <c r="L427" s="36">
        <f t="shared" si="162"/>
        <v>995000</v>
      </c>
    </row>
    <row r="428" spans="1:12" ht="25.5" x14ac:dyDescent="0.25">
      <c r="A428" s="32"/>
      <c r="B428" s="37"/>
      <c r="C428" s="39" t="s">
        <v>502</v>
      </c>
      <c r="D428" s="34" t="s">
        <v>320</v>
      </c>
      <c r="E428" s="34"/>
      <c r="F428" s="89" t="s">
        <v>292</v>
      </c>
      <c r="G428" s="35">
        <v>500000</v>
      </c>
      <c r="H428" s="35">
        <v>500000</v>
      </c>
      <c r="I428" s="35">
        <v>250000</v>
      </c>
      <c r="J428" s="90">
        <f t="shared" si="152"/>
        <v>0.5</v>
      </c>
      <c r="K428" s="90">
        <f t="shared" si="147"/>
        <v>8.673560985462326E-4</v>
      </c>
      <c r="L428" s="36">
        <f t="shared" si="162"/>
        <v>0</v>
      </c>
    </row>
    <row r="429" spans="1:12" ht="15" x14ac:dyDescent="0.25">
      <c r="A429" s="32"/>
      <c r="B429" s="37"/>
      <c r="C429" s="39" t="s">
        <v>502</v>
      </c>
      <c r="D429" s="34" t="s">
        <v>323</v>
      </c>
      <c r="E429" s="34" t="s">
        <v>390</v>
      </c>
      <c r="F429" s="89" t="s">
        <v>395</v>
      </c>
      <c r="G429" s="35">
        <v>9791696</v>
      </c>
      <c r="H429" s="35">
        <v>9791696</v>
      </c>
      <c r="I429" s="35">
        <v>1412153.68</v>
      </c>
      <c r="J429" s="90">
        <f t="shared" si="152"/>
        <v>0.14421951825301765</v>
      </c>
      <c r="K429" s="90">
        <f t="shared" si="147"/>
        <v>4.89936042573002E-3</v>
      </c>
      <c r="L429" s="36">
        <f t="shared" si="162"/>
        <v>-3483694.3200000003</v>
      </c>
    </row>
    <row r="430" spans="1:12" ht="29.25" customHeight="1" x14ac:dyDescent="0.25">
      <c r="A430" s="32"/>
      <c r="B430" s="37"/>
      <c r="C430" s="39" t="s">
        <v>502</v>
      </c>
      <c r="D430" s="34" t="s">
        <v>323</v>
      </c>
      <c r="E430" s="34" t="s">
        <v>390</v>
      </c>
      <c r="F430" s="89" t="s">
        <v>396</v>
      </c>
      <c r="G430" s="35">
        <v>81301</v>
      </c>
      <c r="H430" s="35">
        <v>81301</v>
      </c>
      <c r="I430" s="35">
        <v>81301</v>
      </c>
      <c r="J430" s="90">
        <f t="shared" si="152"/>
        <v>1</v>
      </c>
      <c r="K430" s="90">
        <f t="shared" si="147"/>
        <v>2.8206767267162901E-4</v>
      </c>
      <c r="L430" s="36">
        <f t="shared" si="162"/>
        <v>40650.5</v>
      </c>
    </row>
    <row r="431" spans="1:12" ht="15" x14ac:dyDescent="0.25">
      <c r="A431" s="32"/>
      <c r="B431" s="37"/>
      <c r="C431" s="39" t="s">
        <v>502</v>
      </c>
      <c r="D431" s="34" t="s">
        <v>323</v>
      </c>
      <c r="E431" s="34" t="s">
        <v>390</v>
      </c>
      <c r="F431" s="89" t="s">
        <v>542</v>
      </c>
      <c r="G431" s="35">
        <v>1305000</v>
      </c>
      <c r="H431" s="35">
        <v>1740000</v>
      </c>
      <c r="I431" s="35">
        <v>129749.99</v>
      </c>
      <c r="J431" s="90">
        <f t="shared" si="152"/>
        <v>7.4568959770114948E-2</v>
      </c>
      <c r="K431" s="90">
        <f t="shared" si="147"/>
        <v>4.5015778045125079E-4</v>
      </c>
      <c r="L431" s="36">
        <f t="shared" si="162"/>
        <v>-740250.01</v>
      </c>
    </row>
    <row r="432" spans="1:12" ht="39.75" customHeight="1" x14ac:dyDescent="0.25">
      <c r="A432" s="32"/>
      <c r="B432" s="45"/>
      <c r="C432" s="39" t="s">
        <v>502</v>
      </c>
      <c r="D432" s="34" t="s">
        <v>323</v>
      </c>
      <c r="E432" s="34"/>
      <c r="F432" s="89" t="s">
        <v>529</v>
      </c>
      <c r="G432" s="35">
        <v>0</v>
      </c>
      <c r="H432" s="35">
        <v>120000</v>
      </c>
      <c r="I432" s="35">
        <v>110306.4</v>
      </c>
      <c r="J432" s="90">
        <f t="shared" ref="J432" si="163">I432/H432</f>
        <v>0.91921999999999993</v>
      </c>
      <c r="K432" s="90">
        <f t="shared" ref="K432" si="164">I432/$I$9</f>
        <v>3.8269971499472056E-4</v>
      </c>
      <c r="L432" s="36">
        <f t="shared" ref="L432" si="165">+I432-H432*50%</f>
        <v>50306.399999999994</v>
      </c>
    </row>
    <row r="433" spans="1:12" s="1" customFormat="1" x14ac:dyDescent="0.25">
      <c r="A433" s="31"/>
      <c r="B433" s="81">
        <v>92108</v>
      </c>
      <c r="C433" s="82"/>
      <c r="D433" s="82"/>
      <c r="E433" s="82"/>
      <c r="F433" s="83" t="s">
        <v>293</v>
      </c>
      <c r="G433" s="84">
        <f>+G434</f>
        <v>300000</v>
      </c>
      <c r="H433" s="84">
        <f t="shared" ref="H433:I433" si="166">+H434</f>
        <v>300000</v>
      </c>
      <c r="I433" s="84">
        <f t="shared" si="166"/>
        <v>150000</v>
      </c>
      <c r="J433" s="85">
        <f t="shared" si="152"/>
        <v>0.5</v>
      </c>
      <c r="K433" s="85">
        <f t="shared" si="147"/>
        <v>5.2041365912773954E-4</v>
      </c>
      <c r="L433" s="84">
        <f>+L434</f>
        <v>0</v>
      </c>
    </row>
    <row r="434" spans="1:12" s="21" customFormat="1" ht="15" customHeight="1" x14ac:dyDescent="0.2">
      <c r="A434" s="32"/>
      <c r="B434" s="33"/>
      <c r="C434" s="39" t="s">
        <v>502</v>
      </c>
      <c r="D434" s="34" t="s">
        <v>320</v>
      </c>
      <c r="E434" s="34"/>
      <c r="F434" s="89" t="s">
        <v>294</v>
      </c>
      <c r="G434" s="35">
        <v>300000</v>
      </c>
      <c r="H434" s="35">
        <v>300000</v>
      </c>
      <c r="I434" s="35">
        <v>150000</v>
      </c>
      <c r="J434" s="90">
        <f t="shared" si="152"/>
        <v>0.5</v>
      </c>
      <c r="K434" s="90">
        <f t="shared" si="147"/>
        <v>5.2041365912773954E-4</v>
      </c>
      <c r="L434" s="36">
        <f t="shared" si="162"/>
        <v>0</v>
      </c>
    </row>
    <row r="435" spans="1:12" s="1" customFormat="1" x14ac:dyDescent="0.25">
      <c r="A435" s="31"/>
      <c r="B435" s="81">
        <v>92109</v>
      </c>
      <c r="C435" s="82"/>
      <c r="D435" s="82"/>
      <c r="E435" s="82"/>
      <c r="F435" s="83" t="s">
        <v>295</v>
      </c>
      <c r="G435" s="84">
        <f>SUM(G436:G444)</f>
        <v>7433429</v>
      </c>
      <c r="H435" s="84">
        <f t="shared" ref="H435:I435" si="167">SUM(H436:H444)</f>
        <v>7512429</v>
      </c>
      <c r="I435" s="84">
        <f t="shared" si="167"/>
        <v>3278690</v>
      </c>
      <c r="J435" s="85">
        <f t="shared" si="152"/>
        <v>0.43643540591198932</v>
      </c>
      <c r="K435" s="85">
        <f t="shared" si="147"/>
        <v>1.1375167066970188E-2</v>
      </c>
      <c r="L435" s="84">
        <f t="shared" ref="L435" si="168">SUM(L436:L444)</f>
        <v>-477524.5</v>
      </c>
    </row>
    <row r="436" spans="1:12" s="21" customFormat="1" ht="25.5" x14ac:dyDescent="0.2">
      <c r="A436" s="32"/>
      <c r="B436" s="133"/>
      <c r="C436" s="39" t="s">
        <v>502</v>
      </c>
      <c r="D436" s="34" t="s">
        <v>320</v>
      </c>
      <c r="E436" s="34"/>
      <c r="F436" s="89" t="s">
        <v>296</v>
      </c>
      <c r="G436" s="35">
        <v>6155231</v>
      </c>
      <c r="H436" s="35">
        <v>6155231</v>
      </c>
      <c r="I436" s="35">
        <v>3025000</v>
      </c>
      <c r="J436" s="90">
        <f t="shared" si="152"/>
        <v>0.4914519048919529</v>
      </c>
      <c r="K436" s="90">
        <f t="shared" si="147"/>
        <v>1.0495008792409414E-2</v>
      </c>
      <c r="L436" s="36">
        <f t="shared" si="162"/>
        <v>-52615.5</v>
      </c>
    </row>
    <row r="437" spans="1:12" s="21" customFormat="1" ht="38.25" x14ac:dyDescent="0.2">
      <c r="A437" s="40"/>
      <c r="B437" s="134"/>
      <c r="C437" s="39" t="s">
        <v>502</v>
      </c>
      <c r="D437" s="34" t="s">
        <v>320</v>
      </c>
      <c r="E437" s="34"/>
      <c r="F437" s="89" t="s">
        <v>297</v>
      </c>
      <c r="G437" s="35">
        <v>308858</v>
      </c>
      <c r="H437" s="35">
        <v>308858</v>
      </c>
      <c r="I437" s="35">
        <v>228690</v>
      </c>
      <c r="J437" s="90">
        <f t="shared" si="152"/>
        <v>0.74043735308782677</v>
      </c>
      <c r="K437" s="90">
        <f t="shared" si="147"/>
        <v>7.9342266470615167E-4</v>
      </c>
      <c r="L437" s="36">
        <f t="shared" si="162"/>
        <v>74261</v>
      </c>
    </row>
    <row r="438" spans="1:12" s="21" customFormat="1" ht="25.5" x14ac:dyDescent="0.2">
      <c r="A438" s="32"/>
      <c r="B438" s="37"/>
      <c r="C438" s="39" t="s">
        <v>502</v>
      </c>
      <c r="D438" s="34" t="s">
        <v>320</v>
      </c>
      <c r="E438" s="34"/>
      <c r="F438" s="89" t="s">
        <v>298</v>
      </c>
      <c r="G438" s="35">
        <v>50000</v>
      </c>
      <c r="H438" s="35">
        <v>0</v>
      </c>
      <c r="I438" s="35">
        <v>0</v>
      </c>
      <c r="J438" s="90">
        <v>0</v>
      </c>
      <c r="K438" s="90">
        <f t="shared" si="147"/>
        <v>0</v>
      </c>
      <c r="L438" s="36">
        <f t="shared" si="162"/>
        <v>0</v>
      </c>
    </row>
    <row r="439" spans="1:12" s="21" customFormat="1" ht="38.25" x14ac:dyDescent="0.2">
      <c r="A439" s="32"/>
      <c r="B439" s="37"/>
      <c r="C439" s="39" t="s">
        <v>502</v>
      </c>
      <c r="D439" s="34" t="s">
        <v>320</v>
      </c>
      <c r="E439" s="34"/>
      <c r="F439" s="89" t="s">
        <v>546</v>
      </c>
      <c r="G439" s="35">
        <v>462755</v>
      </c>
      <c r="H439" s="35">
        <v>462755</v>
      </c>
      <c r="I439" s="35">
        <v>0</v>
      </c>
      <c r="J439" s="90">
        <f t="shared" si="152"/>
        <v>0</v>
      </c>
      <c r="K439" s="90">
        <f t="shared" si="147"/>
        <v>0</v>
      </c>
      <c r="L439" s="36">
        <f t="shared" si="162"/>
        <v>-231377.5</v>
      </c>
    </row>
    <row r="440" spans="1:12" s="21" customFormat="1" ht="32.25" customHeight="1" x14ac:dyDescent="0.2">
      <c r="A440" s="32"/>
      <c r="B440" s="37"/>
      <c r="C440" s="39" t="s">
        <v>502</v>
      </c>
      <c r="D440" s="34" t="s">
        <v>320</v>
      </c>
      <c r="E440" s="34"/>
      <c r="F440" s="89" t="s">
        <v>530</v>
      </c>
      <c r="G440" s="35">
        <v>0</v>
      </c>
      <c r="H440" s="35">
        <v>64000</v>
      </c>
      <c r="I440" s="35">
        <v>10000</v>
      </c>
      <c r="J440" s="90">
        <f t="shared" si="152"/>
        <v>0.15625</v>
      </c>
      <c r="K440" s="90">
        <f t="shared" si="147"/>
        <v>3.4694243941849302E-5</v>
      </c>
      <c r="L440" s="36">
        <f t="shared" si="162"/>
        <v>-22000</v>
      </c>
    </row>
    <row r="441" spans="1:12" s="21" customFormat="1" ht="49.5" customHeight="1" x14ac:dyDescent="0.2">
      <c r="A441" s="32"/>
      <c r="B441" s="37"/>
      <c r="C441" s="39" t="s">
        <v>502</v>
      </c>
      <c r="D441" s="34" t="s">
        <v>320</v>
      </c>
      <c r="E441" s="34"/>
      <c r="F441" s="89" t="s">
        <v>543</v>
      </c>
      <c r="G441" s="35">
        <v>0</v>
      </c>
      <c r="H441" s="35">
        <v>50000</v>
      </c>
      <c r="I441" s="35">
        <v>0</v>
      </c>
      <c r="J441" s="90">
        <f t="shared" si="152"/>
        <v>0</v>
      </c>
      <c r="K441" s="90">
        <f t="shared" si="147"/>
        <v>0</v>
      </c>
      <c r="L441" s="36">
        <f t="shared" si="162"/>
        <v>-25000</v>
      </c>
    </row>
    <row r="442" spans="1:12" s="21" customFormat="1" ht="31.5" customHeight="1" x14ac:dyDescent="0.2">
      <c r="A442" s="32"/>
      <c r="B442" s="37"/>
      <c r="C442" s="39" t="s">
        <v>502</v>
      </c>
      <c r="D442" s="34" t="s">
        <v>323</v>
      </c>
      <c r="E442" s="34"/>
      <c r="F442" s="89" t="s">
        <v>299</v>
      </c>
      <c r="G442" s="35">
        <v>150000</v>
      </c>
      <c r="H442" s="35">
        <v>150000</v>
      </c>
      <c r="I442" s="35">
        <v>0</v>
      </c>
      <c r="J442" s="90">
        <f t="shared" si="152"/>
        <v>0</v>
      </c>
      <c r="K442" s="90">
        <f t="shared" si="147"/>
        <v>0</v>
      </c>
      <c r="L442" s="36">
        <f t="shared" si="162"/>
        <v>-75000</v>
      </c>
    </row>
    <row r="443" spans="1:12" s="21" customFormat="1" ht="25.5" x14ac:dyDescent="0.2">
      <c r="A443" s="32"/>
      <c r="B443" s="37"/>
      <c r="C443" s="39" t="s">
        <v>502</v>
      </c>
      <c r="D443" s="34" t="s">
        <v>323</v>
      </c>
      <c r="E443" s="34" t="s">
        <v>390</v>
      </c>
      <c r="F443" s="89" t="s">
        <v>470</v>
      </c>
      <c r="G443" s="35">
        <v>306585</v>
      </c>
      <c r="H443" s="35">
        <v>306585</v>
      </c>
      <c r="I443" s="35">
        <v>0</v>
      </c>
      <c r="J443" s="90">
        <f t="shared" si="152"/>
        <v>0</v>
      </c>
      <c r="K443" s="90">
        <f t="shared" si="147"/>
        <v>0</v>
      </c>
      <c r="L443" s="36">
        <f t="shared" si="162"/>
        <v>-153292.5</v>
      </c>
    </row>
    <row r="444" spans="1:12" s="21" customFormat="1" ht="38.25" x14ac:dyDescent="0.2">
      <c r="A444" s="32"/>
      <c r="B444" s="45"/>
      <c r="C444" s="39" t="s">
        <v>502</v>
      </c>
      <c r="D444" s="34" t="s">
        <v>323</v>
      </c>
      <c r="E444" s="46"/>
      <c r="F444" s="89" t="s">
        <v>531</v>
      </c>
      <c r="G444" s="35">
        <v>0</v>
      </c>
      <c r="H444" s="35">
        <v>15000</v>
      </c>
      <c r="I444" s="35">
        <v>15000</v>
      </c>
      <c r="J444" s="90">
        <f t="shared" si="152"/>
        <v>1</v>
      </c>
      <c r="K444" s="90">
        <f t="shared" si="147"/>
        <v>5.2041365912773956E-5</v>
      </c>
      <c r="L444" s="36">
        <f t="shared" si="162"/>
        <v>7500</v>
      </c>
    </row>
    <row r="445" spans="1:12" s="1" customFormat="1" x14ac:dyDescent="0.25">
      <c r="A445" s="31"/>
      <c r="B445" s="81">
        <v>92116</v>
      </c>
      <c r="C445" s="82"/>
      <c r="D445" s="82"/>
      <c r="E445" s="82"/>
      <c r="F445" s="83" t="s">
        <v>300</v>
      </c>
      <c r="G445" s="111">
        <f>SUM(G446:G448)</f>
        <v>10588400</v>
      </c>
      <c r="H445" s="111">
        <f t="shared" ref="H445:I445" si="169">SUM(H446:H448)</f>
        <v>10705400</v>
      </c>
      <c r="I445" s="111">
        <f t="shared" si="169"/>
        <v>5261200</v>
      </c>
      <c r="J445" s="85">
        <f t="shared" si="152"/>
        <v>0.49145291161469912</v>
      </c>
      <c r="K445" s="85">
        <f t="shared" si="147"/>
        <v>1.8253335622685756E-2</v>
      </c>
      <c r="L445" s="111">
        <f>SUM(L446:L448)</f>
        <v>-91500</v>
      </c>
    </row>
    <row r="446" spans="1:12" s="21" customFormat="1" ht="12.75" x14ac:dyDescent="0.2">
      <c r="A446" s="32"/>
      <c r="B446" s="44"/>
      <c r="C446" s="39" t="s">
        <v>502</v>
      </c>
      <c r="D446" s="34" t="s">
        <v>320</v>
      </c>
      <c r="E446" s="34"/>
      <c r="F446" s="100" t="s">
        <v>301</v>
      </c>
      <c r="G446" s="35">
        <v>10588400</v>
      </c>
      <c r="H446" s="35">
        <v>10590400</v>
      </c>
      <c r="I446" s="35">
        <v>5256200</v>
      </c>
      <c r="J446" s="90">
        <f t="shared" si="152"/>
        <v>0.49631741954978092</v>
      </c>
      <c r="K446" s="90">
        <f t="shared" si="147"/>
        <v>1.8235988500714832E-2</v>
      </c>
      <c r="L446" s="36">
        <f t="shared" si="162"/>
        <v>-39000</v>
      </c>
    </row>
    <row r="447" spans="1:12" s="21" customFormat="1" ht="52.5" customHeight="1" x14ac:dyDescent="0.2">
      <c r="A447" s="32"/>
      <c r="B447" s="37"/>
      <c r="C447" s="39" t="s">
        <v>502</v>
      </c>
      <c r="D447" s="34" t="s">
        <v>320</v>
      </c>
      <c r="E447" s="46"/>
      <c r="F447" s="89" t="s">
        <v>532</v>
      </c>
      <c r="G447" s="35">
        <v>0</v>
      </c>
      <c r="H447" s="35">
        <v>5000</v>
      </c>
      <c r="I447" s="35">
        <v>5000</v>
      </c>
      <c r="J447" s="90">
        <f t="shared" si="152"/>
        <v>1</v>
      </c>
      <c r="K447" s="90">
        <f t="shared" si="147"/>
        <v>1.7347121970924651E-5</v>
      </c>
      <c r="L447" s="36">
        <f t="shared" si="162"/>
        <v>2500</v>
      </c>
    </row>
    <row r="448" spans="1:12" s="21" customFormat="1" ht="38.25" x14ac:dyDescent="0.2">
      <c r="A448" s="32"/>
      <c r="B448" s="38"/>
      <c r="C448" s="39" t="s">
        <v>502</v>
      </c>
      <c r="D448" s="34" t="s">
        <v>323</v>
      </c>
      <c r="E448" s="46"/>
      <c r="F448" s="89" t="s">
        <v>544</v>
      </c>
      <c r="G448" s="35">
        <v>0</v>
      </c>
      <c r="H448" s="35">
        <v>110000</v>
      </c>
      <c r="I448" s="35">
        <v>0</v>
      </c>
      <c r="J448" s="90">
        <f t="shared" si="152"/>
        <v>0</v>
      </c>
      <c r="K448" s="90">
        <f t="shared" si="147"/>
        <v>0</v>
      </c>
      <c r="L448" s="36">
        <f t="shared" si="162"/>
        <v>-55000</v>
      </c>
    </row>
    <row r="449" spans="1:12" s="1" customFormat="1" x14ac:dyDescent="0.25">
      <c r="A449" s="31"/>
      <c r="B449" s="81">
        <v>92118</v>
      </c>
      <c r="C449" s="82"/>
      <c r="D449" s="82"/>
      <c r="E449" s="82"/>
      <c r="F449" s="83" t="s">
        <v>302</v>
      </c>
      <c r="G449" s="84">
        <f>SUM(G450:G455)</f>
        <v>11381770</v>
      </c>
      <c r="H449" s="84">
        <f t="shared" ref="H449" si="170">SUM(H450:H455)</f>
        <v>11023780</v>
      </c>
      <c r="I449" s="84">
        <f>SUM(I450:I455)</f>
        <v>3867646.5</v>
      </c>
      <c r="J449" s="85">
        <f t="shared" si="152"/>
        <v>0.3508457625242884</v>
      </c>
      <c r="K449" s="85">
        <f t="shared" si="147"/>
        <v>1.3418507115183966E-2</v>
      </c>
      <c r="L449" s="84">
        <f>SUM(L450:L455)</f>
        <v>-1644243.5000000002</v>
      </c>
    </row>
    <row r="450" spans="1:12" s="21" customFormat="1" ht="27" customHeight="1" x14ac:dyDescent="0.2">
      <c r="A450" s="32"/>
      <c r="B450" s="44"/>
      <c r="C450" s="39" t="s">
        <v>502</v>
      </c>
      <c r="D450" s="34" t="s">
        <v>320</v>
      </c>
      <c r="E450" s="34"/>
      <c r="F450" s="89" t="s">
        <v>303</v>
      </c>
      <c r="G450" s="35">
        <v>6976564</v>
      </c>
      <c r="H450" s="35">
        <v>6996564</v>
      </c>
      <c r="I450" s="35">
        <v>3510000</v>
      </c>
      <c r="J450" s="90">
        <f t="shared" si="152"/>
        <v>0.50167482209838998</v>
      </c>
      <c r="K450" s="90">
        <f t="shared" si="147"/>
        <v>1.2177679623589106E-2</v>
      </c>
      <c r="L450" s="36">
        <f t="shared" si="162"/>
        <v>11718</v>
      </c>
    </row>
    <row r="451" spans="1:12" s="21" customFormat="1" ht="51" x14ac:dyDescent="0.2">
      <c r="A451" s="32"/>
      <c r="B451" s="37"/>
      <c r="C451" s="39" t="s">
        <v>502</v>
      </c>
      <c r="D451" s="34" t="s">
        <v>320</v>
      </c>
      <c r="E451" s="34"/>
      <c r="F451" s="89" t="s">
        <v>545</v>
      </c>
      <c r="G451" s="35">
        <v>0</v>
      </c>
      <c r="H451" s="35">
        <v>6000</v>
      </c>
      <c r="I451" s="35">
        <v>5737.41</v>
      </c>
      <c r="J451" s="90">
        <f t="shared" si="152"/>
        <v>0.95623499999999995</v>
      </c>
      <c r="K451" s="90">
        <f t="shared" si="147"/>
        <v>1.9905510213440561E-5</v>
      </c>
      <c r="L451" s="36">
        <f t="shared" si="162"/>
        <v>2737.41</v>
      </c>
    </row>
    <row r="452" spans="1:12" s="21" customFormat="1" ht="25.5" x14ac:dyDescent="0.2">
      <c r="A452" s="32"/>
      <c r="B452" s="37"/>
      <c r="C452" s="39" t="s">
        <v>502</v>
      </c>
      <c r="D452" s="34" t="s">
        <v>323</v>
      </c>
      <c r="E452" s="34" t="s">
        <v>390</v>
      </c>
      <c r="F452" s="89" t="s">
        <v>394</v>
      </c>
      <c r="G452" s="35">
        <v>700000</v>
      </c>
      <c r="H452" s="35">
        <v>700000</v>
      </c>
      <c r="I452" s="35">
        <v>0</v>
      </c>
      <c r="J452" s="90">
        <f t="shared" si="152"/>
        <v>0</v>
      </c>
      <c r="K452" s="90">
        <f t="shared" si="147"/>
        <v>0</v>
      </c>
      <c r="L452" s="36">
        <f t="shared" si="162"/>
        <v>-350000</v>
      </c>
    </row>
    <row r="453" spans="1:12" s="21" customFormat="1" ht="25.5" x14ac:dyDescent="0.2">
      <c r="A453" s="32"/>
      <c r="B453" s="37"/>
      <c r="C453" s="39" t="s">
        <v>502</v>
      </c>
      <c r="D453" s="34" t="s">
        <v>323</v>
      </c>
      <c r="E453" s="34" t="s">
        <v>390</v>
      </c>
      <c r="F453" s="89" t="s">
        <v>393</v>
      </c>
      <c r="G453" s="35">
        <v>3685206</v>
      </c>
      <c r="H453" s="35">
        <v>3227416</v>
      </c>
      <c r="I453" s="35">
        <v>278109.63</v>
      </c>
      <c r="J453" s="90">
        <f t="shared" si="152"/>
        <v>8.6170989423117447E-2</v>
      </c>
      <c r="K453" s="90">
        <f t="shared" si="147"/>
        <v>9.6488033457974509E-4</v>
      </c>
      <c r="L453" s="36">
        <f t="shared" si="162"/>
        <v>-1335598.3700000001</v>
      </c>
    </row>
    <row r="454" spans="1:12" s="21" customFormat="1" ht="38.25" x14ac:dyDescent="0.2">
      <c r="A454" s="32"/>
      <c r="B454" s="37"/>
      <c r="C454" s="39" t="s">
        <v>502</v>
      </c>
      <c r="D454" s="34" t="s">
        <v>323</v>
      </c>
      <c r="E454" s="34" t="s">
        <v>390</v>
      </c>
      <c r="F454" s="89" t="s">
        <v>392</v>
      </c>
      <c r="G454" s="35">
        <v>20000</v>
      </c>
      <c r="H454" s="35">
        <v>20000</v>
      </c>
      <c r="I454" s="35">
        <v>0</v>
      </c>
      <c r="J454" s="90">
        <f t="shared" si="152"/>
        <v>0</v>
      </c>
      <c r="K454" s="90">
        <f t="shared" si="147"/>
        <v>0</v>
      </c>
      <c r="L454" s="36">
        <f t="shared" si="162"/>
        <v>-10000</v>
      </c>
    </row>
    <row r="455" spans="1:12" s="21" customFormat="1" ht="53.25" customHeight="1" x14ac:dyDescent="0.2">
      <c r="A455" s="32"/>
      <c r="B455" s="38"/>
      <c r="C455" s="39" t="s">
        <v>502</v>
      </c>
      <c r="D455" s="34" t="s">
        <v>323</v>
      </c>
      <c r="E455" s="34"/>
      <c r="F455" s="89" t="s">
        <v>304</v>
      </c>
      <c r="G455" s="35">
        <v>0</v>
      </c>
      <c r="H455" s="35">
        <v>73800</v>
      </c>
      <c r="I455" s="35">
        <v>73799.460000000006</v>
      </c>
      <c r="J455" s="90">
        <f>I455/H42</f>
        <v>1.1353763076923078</v>
      </c>
      <c r="K455" s="90">
        <f t="shared" si="147"/>
        <v>2.5604164680167503E-4</v>
      </c>
      <c r="L455" s="36">
        <f t="shared" si="162"/>
        <v>36899.460000000006</v>
      </c>
    </row>
    <row r="456" spans="1:12" s="1" customFormat="1" x14ac:dyDescent="0.25">
      <c r="A456" s="32"/>
      <c r="B456" s="104">
        <v>92119</v>
      </c>
      <c r="C456" s="82"/>
      <c r="D456" s="82"/>
      <c r="E456" s="82"/>
      <c r="F456" s="83" t="s">
        <v>305</v>
      </c>
      <c r="G456" s="84">
        <f>+G457</f>
        <v>793796</v>
      </c>
      <c r="H456" s="84">
        <f t="shared" ref="H456:I456" si="171">+H457</f>
        <v>793796</v>
      </c>
      <c r="I456" s="84">
        <f t="shared" si="171"/>
        <v>396900</v>
      </c>
      <c r="J456" s="85">
        <f t="shared" ref="J456:J473" si="172">I456/H456</f>
        <v>0.50000251953902519</v>
      </c>
      <c r="K456" s="85">
        <f t="shared" si="147"/>
        <v>1.3770145420519987E-3</v>
      </c>
      <c r="L456" s="84">
        <f>+L457</f>
        <v>2</v>
      </c>
    </row>
    <row r="457" spans="1:12" s="21" customFormat="1" ht="25.5" x14ac:dyDescent="0.2">
      <c r="A457" s="32"/>
      <c r="B457" s="33"/>
      <c r="C457" s="39" t="s">
        <v>502</v>
      </c>
      <c r="D457" s="34" t="s">
        <v>320</v>
      </c>
      <c r="E457" s="34"/>
      <c r="F457" s="89" t="s">
        <v>306</v>
      </c>
      <c r="G457" s="35">
        <v>793796</v>
      </c>
      <c r="H457" s="35">
        <v>793796</v>
      </c>
      <c r="I457" s="35">
        <v>396900</v>
      </c>
      <c r="J457" s="90">
        <f t="shared" si="172"/>
        <v>0.50000251953902519</v>
      </c>
      <c r="K457" s="90">
        <f t="shared" si="147"/>
        <v>1.3770145420519987E-3</v>
      </c>
      <c r="L457" s="36">
        <f t="shared" si="162"/>
        <v>2</v>
      </c>
    </row>
    <row r="458" spans="1:12" s="1" customFormat="1" x14ac:dyDescent="0.25">
      <c r="A458" s="31"/>
      <c r="B458" s="81">
        <v>92120</v>
      </c>
      <c r="C458" s="82"/>
      <c r="D458" s="82"/>
      <c r="E458" s="82"/>
      <c r="F458" s="83" t="s">
        <v>307</v>
      </c>
      <c r="G458" s="84">
        <f>+G459</f>
        <v>700000</v>
      </c>
      <c r="H458" s="84">
        <f t="shared" ref="H458:I458" si="173">+H459</f>
        <v>700000</v>
      </c>
      <c r="I458" s="84">
        <f t="shared" si="173"/>
        <v>0</v>
      </c>
      <c r="J458" s="85">
        <f t="shared" si="172"/>
        <v>0</v>
      </c>
      <c r="K458" s="85">
        <f t="shared" si="147"/>
        <v>0</v>
      </c>
      <c r="L458" s="84">
        <f>+L459</f>
        <v>-350000</v>
      </c>
    </row>
    <row r="459" spans="1:12" s="21" customFormat="1" ht="25.5" x14ac:dyDescent="0.2">
      <c r="A459" s="32"/>
      <c r="B459" s="33"/>
      <c r="C459" s="39" t="s">
        <v>502</v>
      </c>
      <c r="D459" s="34" t="s">
        <v>320</v>
      </c>
      <c r="E459" s="34"/>
      <c r="F459" s="89" t="s">
        <v>308</v>
      </c>
      <c r="G459" s="35">
        <v>700000</v>
      </c>
      <c r="H459" s="35">
        <v>700000</v>
      </c>
      <c r="I459" s="35">
        <v>0</v>
      </c>
      <c r="J459" s="90">
        <f t="shared" si="172"/>
        <v>0</v>
      </c>
      <c r="K459" s="90">
        <f t="shared" si="147"/>
        <v>0</v>
      </c>
      <c r="L459" s="36">
        <f t="shared" si="162"/>
        <v>-350000</v>
      </c>
    </row>
    <row r="460" spans="1:12" s="1" customFormat="1" x14ac:dyDescent="0.25">
      <c r="A460" s="31"/>
      <c r="B460" s="81">
        <v>92195</v>
      </c>
      <c r="C460" s="82"/>
      <c r="D460" s="82"/>
      <c r="E460" s="82"/>
      <c r="F460" s="83" t="s">
        <v>18</v>
      </c>
      <c r="G460" s="84">
        <f>+G461+G462</f>
        <v>300000</v>
      </c>
      <c r="H460" s="84">
        <f t="shared" ref="H460:I460" si="174">+H461+H462</f>
        <v>1769188</v>
      </c>
      <c r="I460" s="84">
        <f t="shared" si="174"/>
        <v>1492400.76</v>
      </c>
      <c r="J460" s="85">
        <f t="shared" si="172"/>
        <v>0.84355125628254324</v>
      </c>
      <c r="K460" s="85">
        <f t="shared" si="147"/>
        <v>5.1777716026441293E-3</v>
      </c>
      <c r="L460" s="84">
        <f>+L461+L462</f>
        <v>607806.76</v>
      </c>
    </row>
    <row r="461" spans="1:12" s="21" customFormat="1" ht="12.75" x14ac:dyDescent="0.2">
      <c r="A461" s="32"/>
      <c r="B461" s="193"/>
      <c r="C461" s="39" t="s">
        <v>326</v>
      </c>
      <c r="D461" s="34" t="s">
        <v>323</v>
      </c>
      <c r="E461" s="34"/>
      <c r="F461" s="89" t="s">
        <v>309</v>
      </c>
      <c r="G461" s="35">
        <v>0</v>
      </c>
      <c r="H461" s="35">
        <v>1579188</v>
      </c>
      <c r="I461" s="35">
        <v>1492400.76</v>
      </c>
      <c r="J461" s="90">
        <f t="shared" si="172"/>
        <v>0.94504312342798957</v>
      </c>
      <c r="K461" s="90">
        <f t="shared" si="147"/>
        <v>5.1777716026441293E-3</v>
      </c>
      <c r="L461" s="36">
        <f t="shared" si="162"/>
        <v>702806.76</v>
      </c>
    </row>
    <row r="462" spans="1:12" s="21" customFormat="1" ht="12.75" x14ac:dyDescent="0.2">
      <c r="A462" s="40"/>
      <c r="B462" s="193"/>
      <c r="C462" s="39" t="s">
        <v>502</v>
      </c>
      <c r="D462" s="34" t="s">
        <v>320</v>
      </c>
      <c r="E462" s="34"/>
      <c r="F462" s="89" t="s">
        <v>288</v>
      </c>
      <c r="G462" s="35">
        <v>300000</v>
      </c>
      <c r="H462" s="35">
        <v>190000</v>
      </c>
      <c r="I462" s="35">
        <v>0</v>
      </c>
      <c r="J462" s="90">
        <f t="shared" si="172"/>
        <v>0</v>
      </c>
      <c r="K462" s="90">
        <f t="shared" si="147"/>
        <v>0</v>
      </c>
      <c r="L462" s="36">
        <f t="shared" si="162"/>
        <v>-95000</v>
      </c>
    </row>
    <row r="463" spans="1:12" s="116" customFormat="1" ht="33.75" customHeight="1" x14ac:dyDescent="0.25">
      <c r="A463" s="112" t="s">
        <v>310</v>
      </c>
      <c r="B463" s="113"/>
      <c r="C463" s="194" t="s">
        <v>389</v>
      </c>
      <c r="D463" s="194"/>
      <c r="E463" s="194"/>
      <c r="F463" s="195"/>
      <c r="G463" s="114">
        <f t="shared" ref="G463:I464" si="175">+G464</f>
        <v>300000</v>
      </c>
      <c r="H463" s="114">
        <f t="shared" si="175"/>
        <v>375000</v>
      </c>
      <c r="I463" s="114">
        <f t="shared" si="175"/>
        <v>0</v>
      </c>
      <c r="J463" s="115">
        <f t="shared" si="172"/>
        <v>0</v>
      </c>
      <c r="K463" s="115">
        <f t="shared" si="147"/>
        <v>0</v>
      </c>
      <c r="L463" s="114">
        <f>+L464</f>
        <v>-187500</v>
      </c>
    </row>
    <row r="464" spans="1:12" s="1" customFormat="1" x14ac:dyDescent="0.25">
      <c r="A464" s="31"/>
      <c r="B464" s="81">
        <v>92502</v>
      </c>
      <c r="C464" s="82"/>
      <c r="D464" s="82"/>
      <c r="E464" s="82"/>
      <c r="F464" s="83" t="s">
        <v>311</v>
      </c>
      <c r="G464" s="84">
        <f t="shared" si="175"/>
        <v>300000</v>
      </c>
      <c r="H464" s="84">
        <f t="shared" si="175"/>
        <v>375000</v>
      </c>
      <c r="I464" s="84">
        <f t="shared" si="175"/>
        <v>0</v>
      </c>
      <c r="J464" s="85">
        <f t="shared" si="172"/>
        <v>0</v>
      </c>
      <c r="K464" s="85">
        <f t="shared" si="147"/>
        <v>0</v>
      </c>
      <c r="L464" s="84">
        <f>+L465</f>
        <v>-187500</v>
      </c>
    </row>
    <row r="465" spans="1:61" s="21" customFormat="1" ht="25.5" x14ac:dyDescent="0.2">
      <c r="A465" s="117"/>
      <c r="B465" s="118"/>
      <c r="C465" s="39" t="s">
        <v>493</v>
      </c>
      <c r="D465" s="34" t="s">
        <v>320</v>
      </c>
      <c r="E465" s="34"/>
      <c r="F465" s="89" t="s">
        <v>312</v>
      </c>
      <c r="G465" s="35">
        <v>300000</v>
      </c>
      <c r="H465" s="35">
        <v>375000</v>
      </c>
      <c r="I465" s="35">
        <v>0</v>
      </c>
      <c r="J465" s="90">
        <f t="shared" si="172"/>
        <v>0</v>
      </c>
      <c r="K465" s="90">
        <f t="shared" si="147"/>
        <v>0</v>
      </c>
      <c r="L465" s="36">
        <f t="shared" ref="L465" si="176">+I465-H465*50%</f>
        <v>-187500</v>
      </c>
    </row>
    <row r="466" spans="1:61" s="2" customFormat="1" ht="15.75" x14ac:dyDescent="0.25">
      <c r="A466" s="76" t="s">
        <v>313</v>
      </c>
      <c r="B466" s="77"/>
      <c r="C466" s="164" t="s">
        <v>314</v>
      </c>
      <c r="D466" s="164"/>
      <c r="E466" s="164"/>
      <c r="F466" s="165"/>
      <c r="G466" s="92">
        <f>+G467+G469+G471</f>
        <v>4174000</v>
      </c>
      <c r="H466" s="92">
        <f t="shared" ref="H466:I466" si="177">+H467+H469+H471</f>
        <v>4174000</v>
      </c>
      <c r="I466" s="92">
        <f t="shared" si="177"/>
        <v>1779077.59</v>
      </c>
      <c r="J466" s="93">
        <f t="shared" si="172"/>
        <v>0.4262284595112602</v>
      </c>
      <c r="K466" s="93">
        <f t="shared" si="147"/>
        <v>6.1723751898937361E-3</v>
      </c>
      <c r="L466" s="92">
        <f>+L467+L469+L471</f>
        <v>-307922.40999999997</v>
      </c>
    </row>
    <row r="467" spans="1:61" s="1" customFormat="1" x14ac:dyDescent="0.25">
      <c r="A467" s="31"/>
      <c r="B467" s="81">
        <v>92601</v>
      </c>
      <c r="C467" s="82"/>
      <c r="D467" s="82"/>
      <c r="E467" s="82"/>
      <c r="F467" s="83" t="s">
        <v>315</v>
      </c>
      <c r="G467" s="84">
        <v>999000</v>
      </c>
      <c r="H467" s="84">
        <v>999000</v>
      </c>
      <c r="I467" s="84">
        <v>0</v>
      </c>
      <c r="J467" s="85">
        <f t="shared" si="172"/>
        <v>0</v>
      </c>
      <c r="K467" s="85">
        <f t="shared" si="147"/>
        <v>0</v>
      </c>
      <c r="L467" s="86">
        <f>+I467-H467*50%</f>
        <v>-499500</v>
      </c>
    </row>
    <row r="468" spans="1:61" s="21" customFormat="1" ht="12.75" x14ac:dyDescent="0.2">
      <c r="A468" s="32"/>
      <c r="B468" s="33"/>
      <c r="C468" s="39" t="s">
        <v>499</v>
      </c>
      <c r="D468" s="34" t="s">
        <v>323</v>
      </c>
      <c r="E468" s="34" t="s">
        <v>390</v>
      </c>
      <c r="F468" s="89" t="s">
        <v>391</v>
      </c>
      <c r="G468" s="35">
        <v>999000</v>
      </c>
      <c r="H468" s="35">
        <v>999000</v>
      </c>
      <c r="I468" s="35">
        <v>0</v>
      </c>
      <c r="J468" s="90">
        <f t="shared" si="172"/>
        <v>0</v>
      </c>
      <c r="K468" s="90">
        <f t="shared" si="147"/>
        <v>0</v>
      </c>
      <c r="L468" s="36">
        <f t="shared" ref="L468" si="178">+I468-H468*50%</f>
        <v>-499500</v>
      </c>
    </row>
    <row r="469" spans="1:61" s="1" customFormat="1" x14ac:dyDescent="0.25">
      <c r="A469" s="31"/>
      <c r="B469" s="81">
        <v>92605</v>
      </c>
      <c r="C469" s="105"/>
      <c r="D469" s="82"/>
      <c r="E469" s="82"/>
      <c r="F469" s="83" t="s">
        <v>316</v>
      </c>
      <c r="G469" s="84">
        <f t="shared" ref="G469:H469" si="179">+G470</f>
        <v>2648000</v>
      </c>
      <c r="H469" s="84">
        <f t="shared" si="179"/>
        <v>2648000</v>
      </c>
      <c r="I469" s="84">
        <f>+I470</f>
        <v>1350000</v>
      </c>
      <c r="J469" s="85">
        <f t="shared" si="172"/>
        <v>0.50981873111782472</v>
      </c>
      <c r="K469" s="85">
        <f t="shared" si="147"/>
        <v>4.6837229321496556E-3</v>
      </c>
      <c r="L469" s="86">
        <f>+I469-H469*50%</f>
        <v>26000</v>
      </c>
    </row>
    <row r="470" spans="1:61" s="21" customFormat="1" ht="12.75" x14ac:dyDescent="0.2">
      <c r="A470" s="32"/>
      <c r="B470" s="33"/>
      <c r="C470" s="39" t="s">
        <v>499</v>
      </c>
      <c r="D470" s="34" t="s">
        <v>320</v>
      </c>
      <c r="E470" s="34"/>
      <c r="F470" s="89" t="s">
        <v>317</v>
      </c>
      <c r="G470" s="35">
        <v>2648000</v>
      </c>
      <c r="H470" s="35">
        <v>2648000</v>
      </c>
      <c r="I470" s="35">
        <v>1350000</v>
      </c>
      <c r="J470" s="90">
        <f t="shared" si="172"/>
        <v>0.50981873111782472</v>
      </c>
      <c r="K470" s="90">
        <f t="shared" si="147"/>
        <v>4.6837229321496556E-3</v>
      </c>
      <c r="L470" s="36">
        <f t="shared" ref="L470" si="180">+I470-H470*50%</f>
        <v>26000</v>
      </c>
    </row>
    <row r="471" spans="1:61" s="1" customFormat="1" x14ac:dyDescent="0.25">
      <c r="A471" s="31"/>
      <c r="B471" s="81">
        <v>92695</v>
      </c>
      <c r="C471" s="105"/>
      <c r="D471" s="82"/>
      <c r="E471" s="82"/>
      <c r="F471" s="83" t="s">
        <v>18</v>
      </c>
      <c r="G471" s="84">
        <f>SUM(G472:G473)</f>
        <v>527000</v>
      </c>
      <c r="H471" s="84">
        <f>SUM(H472:H473)</f>
        <v>527000</v>
      </c>
      <c r="I471" s="84">
        <f>SUM(I472:I473)</f>
        <v>429077.59</v>
      </c>
      <c r="J471" s="85">
        <f t="shared" si="172"/>
        <v>0.81418897533206835</v>
      </c>
      <c r="K471" s="85">
        <f t="shared" si="147"/>
        <v>1.48865225774408E-3</v>
      </c>
      <c r="L471" s="84">
        <f>SUM(L472:L473)</f>
        <v>165577.59000000003</v>
      </c>
    </row>
    <row r="472" spans="1:61" s="21" customFormat="1" ht="12.75" x14ac:dyDescent="0.2">
      <c r="A472" s="32"/>
      <c r="B472" s="193"/>
      <c r="C472" s="119" t="s">
        <v>499</v>
      </c>
      <c r="D472" s="34" t="s">
        <v>320</v>
      </c>
      <c r="E472" s="34"/>
      <c r="F472" s="89" t="s">
        <v>318</v>
      </c>
      <c r="G472" s="35">
        <v>527000</v>
      </c>
      <c r="H472" s="35">
        <v>502000</v>
      </c>
      <c r="I472" s="35">
        <v>404077.59</v>
      </c>
      <c r="J472" s="90">
        <f t="shared" si="172"/>
        <v>0.80493543824701197</v>
      </c>
      <c r="K472" s="90">
        <f t="shared" si="147"/>
        <v>1.4019166478894567E-3</v>
      </c>
      <c r="L472" s="36">
        <f t="shared" ref="L472:L473" si="181">+I472-H472*50%</f>
        <v>153077.59000000003</v>
      </c>
    </row>
    <row r="473" spans="1:61" s="21" customFormat="1" ht="29.25" customHeight="1" x14ac:dyDescent="0.2">
      <c r="A473" s="32"/>
      <c r="B473" s="167"/>
      <c r="C473" s="119" t="s">
        <v>499</v>
      </c>
      <c r="D473" s="150" t="s">
        <v>320</v>
      </c>
      <c r="E473" s="150"/>
      <c r="F473" s="151" t="s">
        <v>319</v>
      </c>
      <c r="G473" s="152">
        <v>0</v>
      </c>
      <c r="H473" s="152">
        <v>25000</v>
      </c>
      <c r="I473" s="152">
        <v>25000</v>
      </c>
      <c r="J473" s="153">
        <f t="shared" si="172"/>
        <v>1</v>
      </c>
      <c r="K473" s="153">
        <f t="shared" si="147"/>
        <v>8.6735609854623252E-5</v>
      </c>
      <c r="L473" s="154">
        <f t="shared" si="181"/>
        <v>12500</v>
      </c>
    </row>
    <row r="474" spans="1:61" s="69" customFormat="1" ht="18.75" customHeight="1" x14ac:dyDescent="0.25">
      <c r="A474" s="162" t="s">
        <v>509</v>
      </c>
      <c r="B474" s="163"/>
      <c r="C474" s="163"/>
      <c r="D474" s="163"/>
      <c r="E474" s="163"/>
      <c r="F474" s="163"/>
      <c r="G474" s="64">
        <f>+G476+G477</f>
        <v>63481000</v>
      </c>
      <c r="H474" s="64">
        <f>+H476+H477</f>
        <v>91716000</v>
      </c>
      <c r="I474" s="64">
        <f>+I476+I477</f>
        <v>30632657.189999998</v>
      </c>
      <c r="J474" s="65">
        <f>I474/H474</f>
        <v>0.33399469220201489</v>
      </c>
      <c r="K474" s="66">
        <f t="shared" ref="K474" si="182">I474/$I$9</f>
        <v>0.10627768811369039</v>
      </c>
      <c r="L474" s="64">
        <f>+L476+L477</f>
        <v>-15225342.810000002</v>
      </c>
      <c r="M474" s="68"/>
      <c r="N474" s="73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  <c r="BE474" s="68"/>
      <c r="BF474" s="68"/>
      <c r="BG474" s="68"/>
      <c r="BH474" s="68"/>
      <c r="BI474" s="68"/>
    </row>
    <row r="475" spans="1:61" s="71" customFormat="1" ht="12" customHeight="1" x14ac:dyDescent="0.25">
      <c r="A475" s="156" t="s">
        <v>404</v>
      </c>
      <c r="B475" s="166"/>
      <c r="C475" s="135"/>
      <c r="D475" s="135"/>
      <c r="E475" s="135"/>
      <c r="F475" s="136"/>
      <c r="G475" s="137"/>
      <c r="H475" s="138"/>
      <c r="I475" s="138"/>
      <c r="J475" s="139"/>
      <c r="K475" s="139"/>
      <c r="L475" s="143"/>
      <c r="M475" s="70"/>
      <c r="N475" s="74">
        <v>433985174</v>
      </c>
      <c r="O475" s="75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</row>
    <row r="476" spans="1:61" s="71" customFormat="1" ht="17.25" customHeight="1" x14ac:dyDescent="0.3">
      <c r="A476" s="158" t="s">
        <v>405</v>
      </c>
      <c r="B476" s="159"/>
      <c r="C476" s="159"/>
      <c r="D476" s="159"/>
      <c r="E476" s="159"/>
      <c r="F476" s="159"/>
      <c r="G476" s="144">
        <f>+G480+G482+G483+G489+G491+G495+G498+G500+G503+G504+G505+G506+G509+G512+G514+G515+G516+G519+G522</f>
        <v>50874000</v>
      </c>
      <c r="H476" s="144">
        <f>+H480+H482+H483+H489+H491+H495+H498+H500+H503+H504+H505+H506+H509+H512+H514+H515+H516+H519+H522</f>
        <v>71790000</v>
      </c>
      <c r="I476" s="144">
        <f>+I480+I482+I483+I489+I491+I495+I498+I500+I503+I504+I505+I506+I509+I512+I514+I515+I516+I519+I522</f>
        <v>29456214.849999998</v>
      </c>
      <c r="J476" s="139">
        <f>I476/H476</f>
        <v>0.41031083507452287</v>
      </c>
      <c r="K476" s="139">
        <f>I476/$I$9</f>
        <v>0.10219611036094239</v>
      </c>
      <c r="L476" s="144">
        <f>+L480+L482+L483+L489+L491+L495+L498+L500+L503+L504+L505+L506+L509+L512+L514+L515+L516+L519+L522</f>
        <v>-6438785.1500000013</v>
      </c>
      <c r="M476" s="70"/>
      <c r="N476" s="72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</row>
    <row r="477" spans="1:61" s="71" customFormat="1" ht="14.25" customHeight="1" x14ac:dyDescent="0.3">
      <c r="A477" s="160" t="s">
        <v>406</v>
      </c>
      <c r="B477" s="161"/>
      <c r="C477" s="161"/>
      <c r="D477" s="161"/>
      <c r="E477" s="161"/>
      <c r="F477" s="161"/>
      <c r="G477" s="145">
        <f>+G484+G485+G486+G487+G492</f>
        <v>12607000</v>
      </c>
      <c r="H477" s="145">
        <f t="shared" ref="H477:I477" si="183">+H484+H485+H486+H487+H492</f>
        <v>19926000</v>
      </c>
      <c r="I477" s="145">
        <f t="shared" si="183"/>
        <v>1176442.3399999999</v>
      </c>
      <c r="J477" s="142">
        <f>I477/H477</f>
        <v>5.9040567098263566E-2</v>
      </c>
      <c r="K477" s="142">
        <f>I477/$I$9</f>
        <v>4.0815777527480014E-3</v>
      </c>
      <c r="L477" s="145">
        <f t="shared" ref="L477" si="184">+L484+L485+L486+L487+L492</f>
        <v>-8786557.6600000001</v>
      </c>
      <c r="M477" s="70"/>
      <c r="N477" s="72">
        <f>+G16-N475</f>
        <v>-12607000</v>
      </c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</row>
    <row r="478" spans="1:61" s="2" customFormat="1" ht="18" customHeight="1" x14ac:dyDescent="0.25">
      <c r="A478" s="76" t="s">
        <v>0</v>
      </c>
      <c r="B478" s="77"/>
      <c r="C478" s="164" t="s">
        <v>1</v>
      </c>
      <c r="D478" s="164"/>
      <c r="E478" s="164"/>
      <c r="F478" s="165"/>
      <c r="G478" s="78">
        <f>+G479+G481+G488+G490</f>
        <v>31422000</v>
      </c>
      <c r="H478" s="78">
        <f>+H479+H481+H488+H490</f>
        <v>58683000</v>
      </c>
      <c r="I478" s="78">
        <f>+I479+I481+I488+I490</f>
        <v>7720773.5600000005</v>
      </c>
      <c r="J478" s="79">
        <f t="shared" ref="J478" si="185">I478/H478</f>
        <v>0.13156746519434931</v>
      </c>
      <c r="K478" s="79">
        <f t="shared" ref="K478" si="186">I478/$I$9</f>
        <v>2.6786640131042028E-2</v>
      </c>
      <c r="L478" s="78">
        <f t="shared" ref="L478" si="187">+L479+L481+L488+L490</f>
        <v>-21620726.440000001</v>
      </c>
      <c r="N478" s="22"/>
    </row>
    <row r="479" spans="1:61" s="1" customFormat="1" ht="30" customHeight="1" x14ac:dyDescent="0.25">
      <c r="A479" s="31"/>
      <c r="B479" s="81" t="s">
        <v>355</v>
      </c>
      <c r="C479" s="82"/>
      <c r="D479" s="82"/>
      <c r="E479" s="82"/>
      <c r="F479" s="83" t="s">
        <v>2</v>
      </c>
      <c r="G479" s="84">
        <f>+G480</f>
        <v>5000</v>
      </c>
      <c r="H479" s="84">
        <f t="shared" ref="H479:I479" si="188">+H480</f>
        <v>5000</v>
      </c>
      <c r="I479" s="84">
        <f t="shared" si="188"/>
        <v>0</v>
      </c>
      <c r="J479" s="85">
        <f>I479/H479</f>
        <v>0</v>
      </c>
      <c r="K479" s="85">
        <f>I479/$I$9</f>
        <v>0</v>
      </c>
      <c r="L479" s="86">
        <f>+I479-H479*50%</f>
        <v>-2500</v>
      </c>
      <c r="N479" s="23"/>
    </row>
    <row r="480" spans="1:61" ht="51" x14ac:dyDescent="0.25">
      <c r="A480" s="32"/>
      <c r="B480" s="33"/>
      <c r="C480" s="87" t="s">
        <v>507</v>
      </c>
      <c r="D480" s="88" t="s">
        <v>320</v>
      </c>
      <c r="E480" s="34"/>
      <c r="F480" s="89" t="s">
        <v>3</v>
      </c>
      <c r="G480" s="35">
        <v>5000</v>
      </c>
      <c r="H480" s="35">
        <v>5000</v>
      </c>
      <c r="I480" s="35">
        <v>0</v>
      </c>
      <c r="J480" s="90">
        <f>I480/H480</f>
        <v>0</v>
      </c>
      <c r="K480" s="90">
        <f>I480/$I$9</f>
        <v>0</v>
      </c>
      <c r="L480" s="36">
        <f>+I480-H480*50%</f>
        <v>-2500</v>
      </c>
      <c r="N480" s="120"/>
    </row>
    <row r="481" spans="1:12" s="1" customFormat="1" x14ac:dyDescent="0.25">
      <c r="A481" s="31"/>
      <c r="B481" s="81" t="s">
        <v>360</v>
      </c>
      <c r="C481" s="82"/>
      <c r="D481" s="82"/>
      <c r="E481" s="82"/>
      <c r="F481" s="83" t="s">
        <v>9</v>
      </c>
      <c r="G481" s="84">
        <f>SUM(G482:G487)</f>
        <v>25107000</v>
      </c>
      <c r="H481" s="84">
        <f t="shared" ref="H481:I481" si="189">SUM(H482:H487)</f>
        <v>52368000</v>
      </c>
      <c r="I481" s="84">
        <f t="shared" si="189"/>
        <v>6027237.2200000007</v>
      </c>
      <c r="J481" s="85">
        <f t="shared" ref="J481" si="190">I481/H481</f>
        <v>0.11509389741827071</v>
      </c>
      <c r="K481" s="85">
        <f t="shared" ref="K481" si="191">I481/$I$9</f>
        <v>2.0911043840607366E-2</v>
      </c>
      <c r="L481" s="84">
        <f t="shared" ref="L481" si="192">SUM(L482:L487)</f>
        <v>-20156762.780000001</v>
      </c>
    </row>
    <row r="482" spans="1:12" ht="21.75" customHeight="1" x14ac:dyDescent="0.25">
      <c r="A482" s="32"/>
      <c r="B482" s="44"/>
      <c r="C482" s="39" t="s">
        <v>321</v>
      </c>
      <c r="D482" s="88" t="s">
        <v>320</v>
      </c>
      <c r="E482" s="34"/>
      <c r="F482" s="89" t="s">
        <v>10</v>
      </c>
      <c r="G482" s="35">
        <v>12500000</v>
      </c>
      <c r="H482" s="35">
        <v>12500000</v>
      </c>
      <c r="I482" s="35">
        <v>4013529.78</v>
      </c>
      <c r="J482" s="90">
        <f t="shared" ref="J482:J487" si="193">I482/H482</f>
        <v>0.32108238239999998</v>
      </c>
      <c r="K482" s="90">
        <f t="shared" ref="K482:K487" si="194">I482/$I$9</f>
        <v>1.3924638125519676E-2</v>
      </c>
      <c r="L482" s="36">
        <f t="shared" ref="L482:L487" si="195">+I482-H482*50%</f>
        <v>-2236470.2200000002</v>
      </c>
    </row>
    <row r="483" spans="1:12" ht="25.5" x14ac:dyDescent="0.25">
      <c r="A483" s="32"/>
      <c r="B483" s="37"/>
      <c r="C483" s="39" t="s">
        <v>321</v>
      </c>
      <c r="D483" s="88" t="s">
        <v>320</v>
      </c>
      <c r="E483" s="34"/>
      <c r="F483" s="89" t="s">
        <v>513</v>
      </c>
      <c r="G483" s="35">
        <v>0</v>
      </c>
      <c r="H483" s="35">
        <v>19956000</v>
      </c>
      <c r="I483" s="35">
        <v>837265.1</v>
      </c>
      <c r="J483" s="90">
        <f t="shared" si="193"/>
        <v>4.1955557225896972E-2</v>
      </c>
      <c r="K483" s="90">
        <f t="shared" si="194"/>
        <v>2.904827962339685E-3</v>
      </c>
      <c r="L483" s="36">
        <f t="shared" si="195"/>
        <v>-9140734.9000000004</v>
      </c>
    </row>
    <row r="484" spans="1:12" ht="18.75" customHeight="1" x14ac:dyDescent="0.25">
      <c r="A484" s="32"/>
      <c r="B484" s="37"/>
      <c r="C484" s="39" t="s">
        <v>321</v>
      </c>
      <c r="D484" s="88" t="s">
        <v>323</v>
      </c>
      <c r="E484" s="34"/>
      <c r="F484" s="89" t="s">
        <v>11</v>
      </c>
      <c r="G484" s="35">
        <v>900000</v>
      </c>
      <c r="H484" s="35">
        <v>438866</v>
      </c>
      <c r="I484" s="35">
        <v>15856.15</v>
      </c>
      <c r="J484" s="90">
        <f t="shared" si="193"/>
        <v>3.6129820947624104E-2</v>
      </c>
      <c r="K484" s="90">
        <f t="shared" si="194"/>
        <v>5.5011713607855383E-5</v>
      </c>
      <c r="L484" s="36">
        <f t="shared" si="195"/>
        <v>-203576.85</v>
      </c>
    </row>
    <row r="485" spans="1:12" ht="20.25" customHeight="1" x14ac:dyDescent="0.25">
      <c r="A485" s="32"/>
      <c r="B485" s="37"/>
      <c r="C485" s="39" t="s">
        <v>321</v>
      </c>
      <c r="D485" s="88" t="s">
        <v>323</v>
      </c>
      <c r="E485" s="34" t="s">
        <v>390</v>
      </c>
      <c r="F485" s="89" t="s">
        <v>414</v>
      </c>
      <c r="G485" s="35">
        <v>11707000</v>
      </c>
      <c r="H485" s="35">
        <v>11707000</v>
      </c>
      <c r="I485" s="35">
        <v>1117051</v>
      </c>
      <c r="J485" s="90">
        <f t="shared" si="193"/>
        <v>9.5417357136755782E-2</v>
      </c>
      <c r="K485" s="90">
        <f t="shared" si="194"/>
        <v>3.8755239889486704E-3</v>
      </c>
      <c r="L485" s="36">
        <f t="shared" si="195"/>
        <v>-4736449</v>
      </c>
    </row>
    <row r="486" spans="1:12" ht="18.75" customHeight="1" x14ac:dyDescent="0.25">
      <c r="A486" s="32"/>
      <c r="B486" s="37"/>
      <c r="C486" s="39" t="s">
        <v>321</v>
      </c>
      <c r="D486" s="88" t="s">
        <v>323</v>
      </c>
      <c r="E486" s="34"/>
      <c r="F486" s="89" t="s">
        <v>514</v>
      </c>
      <c r="G486" s="35">
        <v>0</v>
      </c>
      <c r="H486" s="35">
        <v>7305000</v>
      </c>
      <c r="I486" s="35">
        <v>43535.19</v>
      </c>
      <c r="J486" s="90">
        <f t="shared" si="193"/>
        <v>5.9596427104722793E-3</v>
      </c>
      <c r="K486" s="90">
        <f t="shared" si="194"/>
        <v>1.5104205019147583E-4</v>
      </c>
      <c r="L486" s="36">
        <f t="shared" si="195"/>
        <v>-3608964.81</v>
      </c>
    </row>
    <row r="487" spans="1:12" ht="18.75" customHeight="1" x14ac:dyDescent="0.25">
      <c r="A487" s="40"/>
      <c r="B487" s="134"/>
      <c r="C487" s="39" t="s">
        <v>321</v>
      </c>
      <c r="D487" s="88" t="s">
        <v>323</v>
      </c>
      <c r="E487" s="34" t="s">
        <v>390</v>
      </c>
      <c r="F487" s="89" t="s">
        <v>515</v>
      </c>
      <c r="G487" s="35">
        <v>0</v>
      </c>
      <c r="H487" s="35">
        <v>461134</v>
      </c>
      <c r="I487" s="35">
        <v>0</v>
      </c>
      <c r="J487" s="90">
        <f t="shared" si="193"/>
        <v>0</v>
      </c>
      <c r="K487" s="90">
        <f t="shared" si="194"/>
        <v>0</v>
      </c>
      <c r="L487" s="36">
        <f t="shared" si="195"/>
        <v>-230567</v>
      </c>
    </row>
    <row r="488" spans="1:12" s="1" customFormat="1" ht="19.5" customHeight="1" x14ac:dyDescent="0.25">
      <c r="A488" s="31"/>
      <c r="B488" s="104" t="s">
        <v>358</v>
      </c>
      <c r="C488" s="82"/>
      <c r="D488" s="82"/>
      <c r="E488" s="82"/>
      <c r="F488" s="83" t="s">
        <v>14</v>
      </c>
      <c r="G488" s="84">
        <f>+G489</f>
        <v>6260000</v>
      </c>
      <c r="H488" s="84">
        <f t="shared" ref="H488:I488" si="196">+H489</f>
        <v>6260000</v>
      </c>
      <c r="I488" s="84">
        <f t="shared" si="196"/>
        <v>1691326.77</v>
      </c>
      <c r="J488" s="85">
        <f t="shared" ref="J488:J490" si="197">I488/H488</f>
        <v>0.27017999520766772</v>
      </c>
      <c r="K488" s="85">
        <f t="shared" ref="K488:K490" si="198">I488/$I$9</f>
        <v>5.8679303543760046E-3</v>
      </c>
      <c r="L488" s="84">
        <f t="shared" ref="L488" si="199">+L489</f>
        <v>-1438673.23</v>
      </c>
    </row>
    <row r="489" spans="1:12" ht="25.5" x14ac:dyDescent="0.25">
      <c r="A489" s="32"/>
      <c r="B489" s="44"/>
      <c r="C489" s="39" t="s">
        <v>325</v>
      </c>
      <c r="D489" s="88" t="s">
        <v>320</v>
      </c>
      <c r="E489" s="34" t="s">
        <v>390</v>
      </c>
      <c r="F489" s="89" t="s">
        <v>417</v>
      </c>
      <c r="G489" s="35">
        <v>6260000</v>
      </c>
      <c r="H489" s="35">
        <v>6260000</v>
      </c>
      <c r="I489" s="91">
        <v>1691326.77</v>
      </c>
      <c r="J489" s="90">
        <f t="shared" si="197"/>
        <v>0.27017999520766772</v>
      </c>
      <c r="K489" s="90">
        <f t="shared" si="198"/>
        <v>5.8679303543760046E-3</v>
      </c>
      <c r="L489" s="36">
        <f t="shared" ref="L489" si="200">+I489-H489*50%</f>
        <v>-1438673.23</v>
      </c>
    </row>
    <row r="490" spans="1:12" s="1" customFormat="1" x14ac:dyDescent="0.25">
      <c r="A490" s="31"/>
      <c r="B490" s="81" t="s">
        <v>356</v>
      </c>
      <c r="C490" s="82"/>
      <c r="D490" s="82"/>
      <c r="E490" s="82"/>
      <c r="F490" s="83" t="s">
        <v>18</v>
      </c>
      <c r="G490" s="84">
        <f>+G491+G492</f>
        <v>50000</v>
      </c>
      <c r="H490" s="84">
        <f t="shared" ref="H490:I490" si="201">+H491+H492</f>
        <v>50000</v>
      </c>
      <c r="I490" s="84">
        <f t="shared" si="201"/>
        <v>2209.5700000000002</v>
      </c>
      <c r="J490" s="85">
        <f t="shared" si="197"/>
        <v>4.4191400000000006E-2</v>
      </c>
      <c r="K490" s="85">
        <f t="shared" si="198"/>
        <v>7.6659360586591973E-6</v>
      </c>
      <c r="L490" s="84">
        <f t="shared" ref="L490" si="202">+L491+L492</f>
        <v>-22790.43</v>
      </c>
    </row>
    <row r="491" spans="1:12" ht="15" x14ac:dyDescent="0.25">
      <c r="A491" s="32"/>
      <c r="B491" s="37"/>
      <c r="C491" s="39" t="s">
        <v>324</v>
      </c>
      <c r="D491" s="88" t="s">
        <v>320</v>
      </c>
      <c r="E491" s="34"/>
      <c r="F491" s="89" t="s">
        <v>21</v>
      </c>
      <c r="G491" s="35">
        <v>50000</v>
      </c>
      <c r="H491" s="35">
        <v>36000</v>
      </c>
      <c r="I491" s="35">
        <v>2209.5700000000002</v>
      </c>
      <c r="J491" s="90">
        <f t="shared" ref="J491" si="203">I491/H491</f>
        <v>6.1376944444444449E-2</v>
      </c>
      <c r="K491" s="90">
        <f t="shared" ref="K491" si="204">I491/$I$9</f>
        <v>7.6659360586591973E-6</v>
      </c>
      <c r="L491" s="36">
        <f t="shared" ref="L491" si="205">+I491-H491*50%</f>
        <v>-15790.43</v>
      </c>
    </row>
    <row r="492" spans="1:12" ht="15" x14ac:dyDescent="0.25">
      <c r="A492" s="32"/>
      <c r="B492" s="37"/>
      <c r="C492" s="39" t="s">
        <v>324</v>
      </c>
      <c r="D492" s="88" t="s">
        <v>323</v>
      </c>
      <c r="E492" s="34"/>
      <c r="F492" s="89" t="s">
        <v>103</v>
      </c>
      <c r="G492" s="35">
        <v>0</v>
      </c>
      <c r="H492" s="35">
        <v>14000</v>
      </c>
      <c r="I492" s="35">
        <v>0</v>
      </c>
      <c r="J492" s="90">
        <f>I492/H492</f>
        <v>0</v>
      </c>
      <c r="K492" s="90">
        <f>I492/$I$9</f>
        <v>0</v>
      </c>
      <c r="L492" s="36">
        <f>+I492-H492*50%</f>
        <v>-7000</v>
      </c>
    </row>
    <row r="493" spans="1:12" s="2" customFormat="1" ht="15.75" x14ac:dyDescent="0.25">
      <c r="A493" s="76" t="s">
        <v>43</v>
      </c>
      <c r="B493" s="77"/>
      <c r="C493" s="164" t="s">
        <v>44</v>
      </c>
      <c r="D493" s="164"/>
      <c r="E493" s="164"/>
      <c r="F493" s="165"/>
      <c r="G493" s="92">
        <f>+G494</f>
        <v>30284000</v>
      </c>
      <c r="H493" s="92">
        <f t="shared" ref="H493:I493" si="206">+H494</f>
        <v>30284000</v>
      </c>
      <c r="I493" s="92">
        <f t="shared" si="206"/>
        <v>21535925.59</v>
      </c>
      <c r="J493" s="93">
        <f t="shared" ref="J493:J494" si="207">I493/H493</f>
        <v>0.71113213545106324</v>
      </c>
      <c r="K493" s="93">
        <f t="shared" ref="K493:K494" si="208">I493/$I$9</f>
        <v>7.4717265593297486E-2</v>
      </c>
      <c r="L493" s="92">
        <f t="shared" ref="L493" si="209">+L494</f>
        <v>6393925.5899999999</v>
      </c>
    </row>
    <row r="494" spans="1:12" s="1" customFormat="1" ht="13.5" customHeight="1" x14ac:dyDescent="0.25">
      <c r="A494" s="31"/>
      <c r="B494" s="81" t="s">
        <v>411</v>
      </c>
      <c r="C494" s="82"/>
      <c r="D494" s="82"/>
      <c r="E494" s="101"/>
      <c r="F494" s="83" t="s">
        <v>54</v>
      </c>
      <c r="G494" s="84">
        <f>+G495</f>
        <v>30284000</v>
      </c>
      <c r="H494" s="84">
        <f>+H495</f>
        <v>30284000</v>
      </c>
      <c r="I494" s="84">
        <f>+I495</f>
        <v>21535925.59</v>
      </c>
      <c r="J494" s="85">
        <f t="shared" si="207"/>
        <v>0.71113213545106324</v>
      </c>
      <c r="K494" s="85">
        <f t="shared" si="208"/>
        <v>7.4717265593297486E-2</v>
      </c>
      <c r="L494" s="84">
        <f>+L495</f>
        <v>6393925.5899999999</v>
      </c>
    </row>
    <row r="495" spans="1:12" ht="38.25" x14ac:dyDescent="0.25">
      <c r="A495" s="32"/>
      <c r="B495" s="38"/>
      <c r="C495" s="87" t="s">
        <v>331</v>
      </c>
      <c r="D495" s="88" t="s">
        <v>320</v>
      </c>
      <c r="E495" s="34"/>
      <c r="F495" s="89" t="s">
        <v>55</v>
      </c>
      <c r="G495" s="35">
        <v>30284000</v>
      </c>
      <c r="H495" s="35">
        <v>30284000</v>
      </c>
      <c r="I495" s="35">
        <v>21535925.59</v>
      </c>
      <c r="J495" s="90">
        <f>I495/H495</f>
        <v>0.71113213545106324</v>
      </c>
      <c r="K495" s="90">
        <f>I495/$I$9</f>
        <v>7.4717265593297486E-2</v>
      </c>
      <c r="L495" s="36">
        <f>+I495-H495*50%</f>
        <v>6393925.5899999999</v>
      </c>
    </row>
    <row r="496" spans="1:12" s="2" customFormat="1" ht="19.5" customHeight="1" x14ac:dyDescent="0.25">
      <c r="A496" s="76" t="s">
        <v>96</v>
      </c>
      <c r="B496" s="77"/>
      <c r="C496" s="164" t="s">
        <v>97</v>
      </c>
      <c r="D496" s="164"/>
      <c r="E496" s="164"/>
      <c r="F496" s="165"/>
      <c r="G496" s="92">
        <f>+G497+G499</f>
        <v>313000</v>
      </c>
      <c r="H496" s="92">
        <f>+H497+H499</f>
        <v>313000</v>
      </c>
      <c r="I496" s="92">
        <f t="shared" ref="I496" si="210">+I497+I499</f>
        <v>0</v>
      </c>
      <c r="J496" s="93">
        <f t="shared" ref="J496" si="211">I496/H496</f>
        <v>0</v>
      </c>
      <c r="K496" s="93">
        <f t="shared" ref="K496" si="212">I496/$I$9</f>
        <v>0</v>
      </c>
      <c r="L496" s="92">
        <f t="shared" ref="L496" si="213">+L497+L499</f>
        <v>-156500</v>
      </c>
    </row>
    <row r="497" spans="1:12" s="1" customFormat="1" x14ac:dyDescent="0.25">
      <c r="A497" s="31"/>
      <c r="B497" s="81" t="s">
        <v>369</v>
      </c>
      <c r="C497" s="82"/>
      <c r="D497" s="82"/>
      <c r="E497" s="82"/>
      <c r="F497" s="83" t="s">
        <v>104</v>
      </c>
      <c r="G497" s="84">
        <f>+G498</f>
        <v>18000</v>
      </c>
      <c r="H497" s="84">
        <f t="shared" ref="H497:I497" si="214">+H498</f>
        <v>18000</v>
      </c>
      <c r="I497" s="84">
        <f t="shared" si="214"/>
        <v>0</v>
      </c>
      <c r="J497" s="85">
        <f>I497/H497</f>
        <v>0</v>
      </c>
      <c r="K497" s="85">
        <f>I497/$I$9</f>
        <v>0</v>
      </c>
      <c r="L497" s="86">
        <f>+I497-H497*50%</f>
        <v>-9000</v>
      </c>
    </row>
    <row r="498" spans="1:12" ht="15" x14ac:dyDescent="0.25">
      <c r="A498" s="32"/>
      <c r="B498" s="33"/>
      <c r="C498" s="39" t="s">
        <v>493</v>
      </c>
      <c r="D498" s="88" t="s">
        <v>320</v>
      </c>
      <c r="E498" s="34"/>
      <c r="F498" s="89" t="s">
        <v>105</v>
      </c>
      <c r="G498" s="35">
        <v>18000</v>
      </c>
      <c r="H498" s="35">
        <v>18000</v>
      </c>
      <c r="I498" s="35">
        <v>0</v>
      </c>
      <c r="J498" s="90">
        <f>I498/H498</f>
        <v>0</v>
      </c>
      <c r="K498" s="90">
        <f>I498/$I$9</f>
        <v>0</v>
      </c>
      <c r="L498" s="36">
        <f t="shared" ref="L498" si="215">+I498-H498*50%</f>
        <v>-9000</v>
      </c>
    </row>
    <row r="499" spans="1:12" s="1" customFormat="1" ht="18" customHeight="1" x14ac:dyDescent="0.25">
      <c r="A499" s="31"/>
      <c r="B499" s="81" t="s">
        <v>368</v>
      </c>
      <c r="C499" s="82"/>
      <c r="D499" s="82"/>
      <c r="E499" s="82"/>
      <c r="F499" s="83" t="s">
        <v>106</v>
      </c>
      <c r="G499" s="84">
        <f>+G500</f>
        <v>295000</v>
      </c>
      <c r="H499" s="84">
        <f t="shared" ref="H499:I499" si="216">+H500</f>
        <v>295000</v>
      </c>
      <c r="I499" s="84">
        <f t="shared" si="216"/>
        <v>0</v>
      </c>
      <c r="J499" s="85">
        <f t="shared" ref="J499:J500" si="217">I499/H499</f>
        <v>0</v>
      </c>
      <c r="K499" s="85">
        <f t="shared" ref="K499:K500" si="218">I499/$I$9</f>
        <v>0</v>
      </c>
      <c r="L499" s="86">
        <f>+I499-H499*50%</f>
        <v>-147500</v>
      </c>
    </row>
    <row r="500" spans="1:12" ht="51" customHeight="1" x14ac:dyDescent="0.25">
      <c r="A500" s="32"/>
      <c r="B500" s="33"/>
      <c r="C500" s="39" t="s">
        <v>501</v>
      </c>
      <c r="D500" s="88" t="s">
        <v>320</v>
      </c>
      <c r="E500" s="34"/>
      <c r="F500" s="89" t="s">
        <v>107</v>
      </c>
      <c r="G500" s="35">
        <v>295000</v>
      </c>
      <c r="H500" s="35">
        <v>295000</v>
      </c>
      <c r="I500" s="35">
        <v>0</v>
      </c>
      <c r="J500" s="90">
        <f t="shared" si="217"/>
        <v>0</v>
      </c>
      <c r="K500" s="90">
        <f t="shared" si="218"/>
        <v>0</v>
      </c>
      <c r="L500" s="36">
        <f t="shared" ref="L500" si="219">+I500-H500*50%</f>
        <v>-147500</v>
      </c>
    </row>
    <row r="501" spans="1:12" s="2" customFormat="1" ht="15.75" x14ac:dyDescent="0.25">
      <c r="A501" s="76" t="s">
        <v>111</v>
      </c>
      <c r="B501" s="77"/>
      <c r="C501" s="164" t="s">
        <v>112</v>
      </c>
      <c r="D501" s="164"/>
      <c r="E501" s="164"/>
      <c r="F501" s="165"/>
      <c r="G501" s="92">
        <f>SUM(G503:G506)</f>
        <v>564000</v>
      </c>
      <c r="H501" s="92">
        <f>+H502</f>
        <v>563000</v>
      </c>
      <c r="I501" s="92">
        <f t="shared" ref="I501" si="220">SUM(I503:I506)</f>
        <v>291303.19000000006</v>
      </c>
      <c r="J501" s="93">
        <f t="shared" ref="J501:J502" si="221">I501/H501</f>
        <v>0.51741241563055074</v>
      </c>
      <c r="K501" s="93">
        <f t="shared" ref="K501:K502" si="222">I501/$I$9</f>
        <v>1.010654393489888E-3</v>
      </c>
      <c r="L501" s="92">
        <f t="shared" ref="L501" si="223">SUM(L503:L506)</f>
        <v>9803.1900000000078</v>
      </c>
    </row>
    <row r="502" spans="1:12" s="1" customFormat="1" ht="18.75" customHeight="1" x14ac:dyDescent="0.25">
      <c r="A502" s="31"/>
      <c r="B502" s="81" t="s">
        <v>366</v>
      </c>
      <c r="C502" s="82"/>
      <c r="D502" s="82"/>
      <c r="E502" s="82"/>
      <c r="F502" s="83" t="s">
        <v>113</v>
      </c>
      <c r="G502" s="84">
        <f>SUM(G503:G506)</f>
        <v>564000</v>
      </c>
      <c r="H502" s="84">
        <f t="shared" ref="H502:I502" si="224">SUM(H503:H506)</f>
        <v>563000</v>
      </c>
      <c r="I502" s="84">
        <f t="shared" si="224"/>
        <v>291303.19000000006</v>
      </c>
      <c r="J502" s="85">
        <f t="shared" si="221"/>
        <v>0.51741241563055074</v>
      </c>
      <c r="K502" s="85">
        <f t="shared" si="222"/>
        <v>1.010654393489888E-3</v>
      </c>
      <c r="L502" s="84">
        <f t="shared" ref="L502" si="225">SUM(L503:L506)</f>
        <v>9803.1900000000078</v>
      </c>
    </row>
    <row r="503" spans="1:12" ht="25.5" x14ac:dyDescent="0.25">
      <c r="A503" s="32"/>
      <c r="B503" s="37"/>
      <c r="C503" s="39" t="s">
        <v>494</v>
      </c>
      <c r="D503" s="88" t="s">
        <v>320</v>
      </c>
      <c r="E503" s="34"/>
      <c r="F503" s="89" t="s">
        <v>116</v>
      </c>
      <c r="G503" s="35">
        <v>427512</v>
      </c>
      <c r="H503" s="35">
        <v>427512</v>
      </c>
      <c r="I503" s="35">
        <v>229779.45</v>
      </c>
      <c r="J503" s="90">
        <f>I503/H503</f>
        <v>0.53748070229607592</v>
      </c>
      <c r="K503" s="90">
        <f>I503/$I$9</f>
        <v>7.9720242911239655E-4</v>
      </c>
      <c r="L503" s="36">
        <f>+I503-H503*50%</f>
        <v>16023.450000000012</v>
      </c>
    </row>
    <row r="504" spans="1:12" ht="15" x14ac:dyDescent="0.25">
      <c r="A504" s="32"/>
      <c r="B504" s="37"/>
      <c r="C504" s="39" t="s">
        <v>494</v>
      </c>
      <c r="D504" s="88" t="s">
        <v>320</v>
      </c>
      <c r="E504" s="34"/>
      <c r="F504" s="89" t="s">
        <v>117</v>
      </c>
      <c r="G504" s="35">
        <v>68780</v>
      </c>
      <c r="H504" s="35">
        <v>68780</v>
      </c>
      <c r="I504" s="35">
        <v>39324.589999999997</v>
      </c>
      <c r="J504" s="90">
        <f>I504/H504</f>
        <v>0.57174454783367257</v>
      </c>
      <c r="K504" s="90">
        <f>I504/$I$9</f>
        <v>1.3643369183732076E-4</v>
      </c>
      <c r="L504" s="36">
        <f>+I504-H504*50%</f>
        <v>4934.5899999999965</v>
      </c>
    </row>
    <row r="505" spans="1:12" ht="15" x14ac:dyDescent="0.25">
      <c r="A505" s="32"/>
      <c r="B505" s="37"/>
      <c r="C505" s="39" t="s">
        <v>494</v>
      </c>
      <c r="D505" s="88" t="s">
        <v>320</v>
      </c>
      <c r="E505" s="34"/>
      <c r="F505" s="89" t="s">
        <v>118</v>
      </c>
      <c r="G505" s="35">
        <v>17708</v>
      </c>
      <c r="H505" s="35">
        <v>17708</v>
      </c>
      <c r="I505" s="35">
        <v>13281</v>
      </c>
      <c r="J505" s="90">
        <f>I505/H505</f>
        <v>0.75</v>
      </c>
      <c r="K505" s="90">
        <f>I505/$I$9</f>
        <v>4.6077425379170059E-5</v>
      </c>
      <c r="L505" s="36">
        <f>+I505-H505*50%</f>
        <v>4427</v>
      </c>
    </row>
    <row r="506" spans="1:12" ht="15" x14ac:dyDescent="0.25">
      <c r="A506" s="32"/>
      <c r="B506" s="38"/>
      <c r="C506" s="39" t="s">
        <v>329</v>
      </c>
      <c r="D506" s="88" t="s">
        <v>320</v>
      </c>
      <c r="E506" s="34"/>
      <c r="F506" s="89" t="s">
        <v>120</v>
      </c>
      <c r="G506" s="35">
        <v>50000</v>
      </c>
      <c r="H506" s="35">
        <f>31400+17600</f>
        <v>49000</v>
      </c>
      <c r="I506" s="35">
        <v>8918.15</v>
      </c>
      <c r="J506" s="90">
        <f>I506/H506</f>
        <v>0.18200306122448978</v>
      </c>
      <c r="K506" s="90">
        <f>I506/$I$9</f>
        <v>3.0940847161000332E-5</v>
      </c>
      <c r="L506" s="36">
        <f>+I506-H506*50%</f>
        <v>-15581.85</v>
      </c>
    </row>
    <row r="507" spans="1:12" s="2" customFormat="1" ht="15.75" x14ac:dyDescent="0.25">
      <c r="A507" s="76" t="s">
        <v>208</v>
      </c>
      <c r="B507" s="77"/>
      <c r="C507" s="164" t="s">
        <v>209</v>
      </c>
      <c r="D507" s="164"/>
      <c r="E507" s="164"/>
      <c r="F507" s="165"/>
      <c r="G507" s="92">
        <f>+G508</f>
        <v>36000</v>
      </c>
      <c r="H507" s="92">
        <f t="shared" ref="H507:I508" si="226">+H508</f>
        <v>36000</v>
      </c>
      <c r="I507" s="92">
        <f t="shared" si="226"/>
        <v>8530</v>
      </c>
      <c r="J507" s="93">
        <f t="shared" ref="J507:J508" si="227">I507/H507</f>
        <v>0.23694444444444446</v>
      </c>
      <c r="K507" s="93">
        <f t="shared" ref="K507:K508" si="228">I507/$I$9</f>
        <v>2.9594190082397456E-5</v>
      </c>
      <c r="L507" s="92">
        <f t="shared" ref="L507:L508" si="229">+L508</f>
        <v>-9470</v>
      </c>
    </row>
    <row r="508" spans="1:12" s="1" customFormat="1" ht="17.25" customHeight="1" x14ac:dyDescent="0.25">
      <c r="A508" s="31"/>
      <c r="B508" s="81" t="s">
        <v>385</v>
      </c>
      <c r="C508" s="82"/>
      <c r="D508" s="82"/>
      <c r="E508" s="82"/>
      <c r="F508" s="83" t="s">
        <v>18</v>
      </c>
      <c r="G508" s="84">
        <f>+G509</f>
        <v>36000</v>
      </c>
      <c r="H508" s="84">
        <f t="shared" si="226"/>
        <v>36000</v>
      </c>
      <c r="I508" s="84">
        <f t="shared" si="226"/>
        <v>8530</v>
      </c>
      <c r="J508" s="85">
        <f t="shared" si="227"/>
        <v>0.23694444444444446</v>
      </c>
      <c r="K508" s="85">
        <f t="shared" si="228"/>
        <v>2.9594190082397456E-5</v>
      </c>
      <c r="L508" s="84">
        <f t="shared" si="229"/>
        <v>-9470</v>
      </c>
    </row>
    <row r="509" spans="1:12" ht="24.75" customHeight="1" x14ac:dyDescent="0.25">
      <c r="A509" s="32"/>
      <c r="B509" s="37"/>
      <c r="C509" s="39" t="s">
        <v>503</v>
      </c>
      <c r="D509" s="88" t="s">
        <v>320</v>
      </c>
      <c r="E509" s="34"/>
      <c r="F509" s="89" t="s">
        <v>228</v>
      </c>
      <c r="G509" s="35">
        <v>36000</v>
      </c>
      <c r="H509" s="35">
        <v>36000</v>
      </c>
      <c r="I509" s="35">
        <v>8530</v>
      </c>
      <c r="J509" s="90">
        <f>I509/H509</f>
        <v>0.23694444444444446</v>
      </c>
      <c r="K509" s="90">
        <f>I509/$I$9</f>
        <v>2.9594190082397456E-5</v>
      </c>
      <c r="L509" s="36">
        <f>+I509-H509*50%</f>
        <v>-9470</v>
      </c>
    </row>
    <row r="510" spans="1:12" s="2" customFormat="1" ht="15.75" x14ac:dyDescent="0.25">
      <c r="A510" s="76" t="s">
        <v>230</v>
      </c>
      <c r="B510" s="77"/>
      <c r="C510" s="164" t="s">
        <v>231</v>
      </c>
      <c r="D510" s="164"/>
      <c r="E510" s="164"/>
      <c r="F510" s="165"/>
      <c r="G510" s="92">
        <f>+G511+G513</f>
        <v>760000</v>
      </c>
      <c r="H510" s="92">
        <f t="shared" ref="H510:I510" si="230">+H511+H513</f>
        <v>1735000</v>
      </c>
      <c r="I510" s="92">
        <f t="shared" si="230"/>
        <v>1076092.8500000001</v>
      </c>
      <c r="J510" s="93">
        <f t="shared" ref="J510" si="231">I510/H510</f>
        <v>0.62022642651296833</v>
      </c>
      <c r="K510" s="93">
        <f t="shared" ref="K510" si="232">I510/$I$9</f>
        <v>3.7334227841979853E-3</v>
      </c>
      <c r="L510" s="92">
        <f>+L511+L513</f>
        <v>208592.84999999998</v>
      </c>
    </row>
    <row r="511" spans="1:12" s="1" customFormat="1" ht="44.25" customHeight="1" x14ac:dyDescent="0.25">
      <c r="A511" s="31"/>
      <c r="B511" s="81">
        <v>85212</v>
      </c>
      <c r="C511" s="82"/>
      <c r="D511" s="82"/>
      <c r="E511" s="82"/>
      <c r="F511" s="83" t="s">
        <v>234</v>
      </c>
      <c r="G511" s="84">
        <f>+G512</f>
        <v>760000</v>
      </c>
      <c r="H511" s="84">
        <f t="shared" ref="H511:I511" si="233">+H512</f>
        <v>760000</v>
      </c>
      <c r="I511" s="84">
        <f t="shared" si="233"/>
        <v>474092.5</v>
      </c>
      <c r="J511" s="85">
        <f>I511/H511</f>
        <v>0.62380592105263155</v>
      </c>
      <c r="K511" s="85">
        <f>I511/$I$9</f>
        <v>1.6448280846001191E-3</v>
      </c>
      <c r="L511" s="86">
        <f>+I511-H511*50%</f>
        <v>94092.5</v>
      </c>
    </row>
    <row r="512" spans="1:12" ht="15" x14ac:dyDescent="0.25">
      <c r="A512" s="32"/>
      <c r="B512" s="33"/>
      <c r="C512" s="39" t="s">
        <v>504</v>
      </c>
      <c r="D512" s="88" t="s">
        <v>320</v>
      </c>
      <c r="E512" s="34"/>
      <c r="F512" s="89" t="s">
        <v>235</v>
      </c>
      <c r="G512" s="35">
        <v>760000</v>
      </c>
      <c r="H512" s="35">
        <v>760000</v>
      </c>
      <c r="I512" s="35">
        <v>474092.5</v>
      </c>
      <c r="J512" s="90">
        <f>I512/H512</f>
        <v>0.62380592105263155</v>
      </c>
      <c r="K512" s="90">
        <f>I512/$I$9</f>
        <v>1.6448280846001191E-3</v>
      </c>
      <c r="L512" s="36">
        <f t="shared" ref="L512" si="234">+I512-H512*50%</f>
        <v>94092.5</v>
      </c>
    </row>
    <row r="513" spans="1:12" s="1" customFormat="1" x14ac:dyDescent="0.25">
      <c r="A513" s="31"/>
      <c r="B513" s="81">
        <v>85226</v>
      </c>
      <c r="C513" s="82"/>
      <c r="D513" s="82"/>
      <c r="E513" s="82"/>
      <c r="F513" s="83" t="s">
        <v>239</v>
      </c>
      <c r="G513" s="121">
        <f>+G514+G515+G516</f>
        <v>0</v>
      </c>
      <c r="H513" s="84">
        <f t="shared" ref="H513:I513" si="235">+H514+H515+H516</f>
        <v>975000</v>
      </c>
      <c r="I513" s="84">
        <f t="shared" si="235"/>
        <v>602000.35</v>
      </c>
      <c r="J513" s="85">
        <f t="shared" ref="J513:J518" si="236">I513/H513</f>
        <v>0.61743625641025635</v>
      </c>
      <c r="K513" s="85">
        <f t="shared" ref="K513:K518" si="237">I513/$I$9</f>
        <v>2.0885946995978658E-3</v>
      </c>
      <c r="L513" s="86">
        <f>+I513-H513*50%</f>
        <v>114500.34999999998</v>
      </c>
    </row>
    <row r="514" spans="1:12" ht="25.5" x14ac:dyDescent="0.25">
      <c r="A514" s="32"/>
      <c r="B514" s="44"/>
      <c r="C514" s="110" t="s">
        <v>386</v>
      </c>
      <c r="D514" s="88" t="s">
        <v>320</v>
      </c>
      <c r="E514" s="34"/>
      <c r="F514" s="89" t="s">
        <v>240</v>
      </c>
      <c r="G514" s="122">
        <v>0</v>
      </c>
      <c r="H514" s="35">
        <v>373000</v>
      </c>
      <c r="I514" s="35">
        <v>202479.47</v>
      </c>
      <c r="J514" s="90">
        <f t="shared" si="236"/>
        <v>0.54284040214477214</v>
      </c>
      <c r="K514" s="90">
        <f t="shared" si="237"/>
        <v>7.0248721253963575E-4</v>
      </c>
      <c r="L514" s="36">
        <f t="shared" ref="L514:L516" si="238">+I514-H514*50%</f>
        <v>15979.470000000001</v>
      </c>
    </row>
    <row r="515" spans="1:12" ht="25.5" x14ac:dyDescent="0.25">
      <c r="A515" s="32"/>
      <c r="B515" s="37"/>
      <c r="C515" s="110" t="s">
        <v>387</v>
      </c>
      <c r="D515" s="88" t="s">
        <v>320</v>
      </c>
      <c r="E515" s="34"/>
      <c r="F515" s="89" t="s">
        <v>241</v>
      </c>
      <c r="G515" s="122">
        <v>0</v>
      </c>
      <c r="H515" s="35">
        <v>357000</v>
      </c>
      <c r="I515" s="35">
        <v>269520.88</v>
      </c>
      <c r="J515" s="90">
        <f t="shared" si="236"/>
        <v>0.75496044817927177</v>
      </c>
      <c r="K515" s="90">
        <f t="shared" si="237"/>
        <v>9.3508231581418931E-4</v>
      </c>
      <c r="L515" s="36">
        <f t="shared" si="238"/>
        <v>91020.88</v>
      </c>
    </row>
    <row r="516" spans="1:12" ht="15" x14ac:dyDescent="0.25">
      <c r="A516" s="40"/>
      <c r="B516" s="38"/>
      <c r="C516" s="39" t="s">
        <v>504</v>
      </c>
      <c r="D516" s="88" t="s">
        <v>320</v>
      </c>
      <c r="E516" s="34"/>
      <c r="F516" s="89" t="s">
        <v>536</v>
      </c>
      <c r="G516" s="122">
        <v>0</v>
      </c>
      <c r="H516" s="35">
        <v>245000</v>
      </c>
      <c r="I516" s="35">
        <v>130000</v>
      </c>
      <c r="J516" s="90">
        <f t="shared" si="236"/>
        <v>0.53061224489795922</v>
      </c>
      <c r="K516" s="90">
        <f t="shared" si="237"/>
        <v>4.5102517124404095E-4</v>
      </c>
      <c r="L516" s="36">
        <f t="shared" si="238"/>
        <v>7500</v>
      </c>
    </row>
    <row r="517" spans="1:12" s="2" customFormat="1" ht="15.75" x14ac:dyDescent="0.25">
      <c r="A517" s="76" t="s">
        <v>243</v>
      </c>
      <c r="B517" s="77"/>
      <c r="C517" s="164" t="s">
        <v>244</v>
      </c>
      <c r="D517" s="164"/>
      <c r="E517" s="164"/>
      <c r="F517" s="165"/>
      <c r="G517" s="92">
        <f>+G518</f>
        <v>2000</v>
      </c>
      <c r="H517" s="92">
        <f>+H518</f>
        <v>2000</v>
      </c>
      <c r="I517" s="92">
        <f>+I518</f>
        <v>32</v>
      </c>
      <c r="J517" s="93">
        <f t="shared" si="236"/>
        <v>1.6E-2</v>
      </c>
      <c r="K517" s="93">
        <f t="shared" si="237"/>
        <v>1.1102158061391777E-7</v>
      </c>
      <c r="L517" s="92">
        <f>+L518</f>
        <v>-968</v>
      </c>
    </row>
    <row r="518" spans="1:12" s="1" customFormat="1" x14ac:dyDescent="0.25">
      <c r="A518" s="31"/>
      <c r="B518" s="104">
        <v>85332</v>
      </c>
      <c r="C518" s="82"/>
      <c r="D518" s="82"/>
      <c r="E518" s="82"/>
      <c r="F518" s="83" t="s">
        <v>249</v>
      </c>
      <c r="G518" s="84">
        <f>+G519</f>
        <v>2000</v>
      </c>
      <c r="H518" s="84">
        <f t="shared" ref="H518:I518" si="239">+H519</f>
        <v>2000</v>
      </c>
      <c r="I518" s="84">
        <f t="shared" si="239"/>
        <v>32</v>
      </c>
      <c r="J518" s="85">
        <f t="shared" si="236"/>
        <v>1.6E-2</v>
      </c>
      <c r="K518" s="85">
        <f t="shared" si="237"/>
        <v>1.1102158061391777E-7</v>
      </c>
      <c r="L518" s="84">
        <f t="shared" ref="L518" si="240">+L519</f>
        <v>-968</v>
      </c>
    </row>
    <row r="519" spans="1:12" ht="25.5" x14ac:dyDescent="0.25">
      <c r="A519" s="32"/>
      <c r="B519" s="37"/>
      <c r="C519" s="39" t="s">
        <v>330</v>
      </c>
      <c r="D519" s="88" t="s">
        <v>320</v>
      </c>
      <c r="E519" s="34"/>
      <c r="F519" s="89" t="s">
        <v>250</v>
      </c>
      <c r="G519" s="35">
        <v>2000</v>
      </c>
      <c r="H519" s="35">
        <v>2000</v>
      </c>
      <c r="I519" s="35">
        <v>32</v>
      </c>
      <c r="J519" s="90">
        <f>I519/H519</f>
        <v>1.6E-2</v>
      </c>
      <c r="K519" s="90">
        <f>I519/$I$9</f>
        <v>1.1102158061391777E-7</v>
      </c>
      <c r="L519" s="36">
        <f>+I519-H519*50%</f>
        <v>-968</v>
      </c>
    </row>
    <row r="520" spans="1:12" s="2" customFormat="1" ht="15.75" x14ac:dyDescent="0.25">
      <c r="A520" s="76" t="s">
        <v>274</v>
      </c>
      <c r="B520" s="77"/>
      <c r="C520" s="164" t="s">
        <v>275</v>
      </c>
      <c r="D520" s="164"/>
      <c r="E520" s="164"/>
      <c r="F520" s="165"/>
      <c r="G520" s="92">
        <f>+G521</f>
        <v>100000</v>
      </c>
      <c r="H520" s="92">
        <f t="shared" ref="H520:I521" si="241">+H521</f>
        <v>100000</v>
      </c>
      <c r="I520" s="92">
        <f t="shared" si="241"/>
        <v>0</v>
      </c>
      <c r="J520" s="93">
        <f t="shared" ref="J520:J522" si="242">I520/H520</f>
        <v>0</v>
      </c>
      <c r="K520" s="93">
        <f t="shared" ref="K520:K522" si="243">I520/$I$9</f>
        <v>0</v>
      </c>
      <c r="L520" s="92">
        <f t="shared" ref="L520:L521" si="244">+L521</f>
        <v>-50000</v>
      </c>
    </row>
    <row r="521" spans="1:12" s="1" customFormat="1" ht="15.75" customHeight="1" x14ac:dyDescent="0.25">
      <c r="A521" s="31"/>
      <c r="B521" s="81">
        <v>90005</v>
      </c>
      <c r="C521" s="82"/>
      <c r="D521" s="82"/>
      <c r="E521" s="82"/>
      <c r="F521" s="83" t="s">
        <v>280</v>
      </c>
      <c r="G521" s="84">
        <f>+G522</f>
        <v>100000</v>
      </c>
      <c r="H521" s="84">
        <f t="shared" si="241"/>
        <v>100000</v>
      </c>
      <c r="I521" s="84">
        <f t="shared" si="241"/>
        <v>0</v>
      </c>
      <c r="J521" s="85">
        <f t="shared" si="242"/>
        <v>0</v>
      </c>
      <c r="K521" s="85">
        <f t="shared" si="243"/>
        <v>0</v>
      </c>
      <c r="L521" s="84">
        <f t="shared" si="244"/>
        <v>-50000</v>
      </c>
    </row>
    <row r="522" spans="1:12" ht="16.5" customHeight="1" x14ac:dyDescent="0.25">
      <c r="A522" s="40"/>
      <c r="B522" s="33"/>
      <c r="C522" s="39" t="s">
        <v>493</v>
      </c>
      <c r="D522" s="34" t="s">
        <v>320</v>
      </c>
      <c r="E522" s="34"/>
      <c r="F522" s="89" t="s">
        <v>280</v>
      </c>
      <c r="G522" s="35">
        <v>100000</v>
      </c>
      <c r="H522" s="35">
        <v>100000</v>
      </c>
      <c r="I522" s="35">
        <v>0</v>
      </c>
      <c r="J522" s="90">
        <f t="shared" si="242"/>
        <v>0</v>
      </c>
      <c r="K522" s="90">
        <f t="shared" si="243"/>
        <v>0</v>
      </c>
      <c r="L522" s="36">
        <f t="shared" ref="L522" si="245">+I522-H522*50%</f>
        <v>-50000</v>
      </c>
    </row>
    <row r="523" spans="1:12" ht="17.25" customHeight="1" x14ac:dyDescent="0.3">
      <c r="G523" s="126">
        <f>+G524-G526</f>
        <v>-2186179773</v>
      </c>
      <c r="H523" s="126">
        <f t="shared" ref="H523:I523" si="246">+H524-H526</f>
        <v>-2360574363</v>
      </c>
      <c r="I523" s="126">
        <f t="shared" si="246"/>
        <v>-744167646.77999985</v>
      </c>
    </row>
    <row r="524" spans="1:12" ht="18" customHeight="1" x14ac:dyDescent="0.3">
      <c r="F524" s="129" t="s">
        <v>390</v>
      </c>
      <c r="G524" s="130">
        <f>+'[1]zał. nr 2'!$F$78</f>
        <v>417830256</v>
      </c>
      <c r="H524" s="130">
        <f>+'[1]zał. nr 2'!$K$78</f>
        <v>413260176</v>
      </c>
      <c r="I524" s="130">
        <f>+'[1]zał. nr 2'!$O$78</f>
        <v>91051814.100000009</v>
      </c>
    </row>
    <row r="525" spans="1:12" ht="15" customHeight="1" x14ac:dyDescent="0.3">
      <c r="F525" s="127" t="s">
        <v>541</v>
      </c>
      <c r="G525" s="128">
        <f>+'[2]Zał. 2E - Administracja'!$K$106+'[2]Zał. 2E - Administracja'!$K$107</f>
        <v>14335638</v>
      </c>
      <c r="H525" s="128">
        <v>11369376</v>
      </c>
      <c r="I525" s="128"/>
      <c r="J525" s="131"/>
      <c r="L525" s="28">
        <f>+G523-G525</f>
        <v>-2200515411</v>
      </c>
    </row>
    <row r="526" spans="1:12" ht="18" customHeight="1" x14ac:dyDescent="0.3">
      <c r="F526" s="125" t="s">
        <v>539</v>
      </c>
      <c r="G526" s="28">
        <f>SUBTOTAL(9,G24:G489)</f>
        <v>2604010029</v>
      </c>
      <c r="H526" s="28">
        <f>SUBTOTAL(9,H24:H489)</f>
        <v>2773834539</v>
      </c>
      <c r="I526" s="28">
        <f>SUBTOTAL(9,I24:I489)</f>
        <v>835219460.87999988</v>
      </c>
      <c r="L526" s="28">
        <f>+H525-H523</f>
        <v>2371943739</v>
      </c>
    </row>
    <row r="527" spans="1:12" ht="15.75" customHeight="1" x14ac:dyDescent="0.3">
      <c r="F527" s="125" t="s">
        <v>540</v>
      </c>
      <c r="G527" s="28">
        <f>+G520+G517+G510+G507+G501+G496+G493+G478+G466+G463+G422+G406+G387+G358+G348+G316+G310+G276+G263+G259+G247+G187+G174+G162+G152+G73+G68+G48+G43+G17</f>
        <v>895139428</v>
      </c>
      <c r="H527" s="28">
        <f>+H520+H517+H510+H507+H501+H496+H493+H478+H466+H463+H422+H406+H387+H358+H348+H316+H310+H276+H263+H259+H247+H187+H174+H162+H152+H73+H68+H48+H43+H17</f>
        <v>936204728</v>
      </c>
      <c r="I527" s="28">
        <f>+I520+I517+I510+I507+I501+I496+I493+I478+I466+I463+I422+I406+I387+I358+I348+I316+I310+I276+I263+I259+I247+I187+I174+I162+I152+I73+I68+I48+I43+I17</f>
        <v>288232250.07999998</v>
      </c>
    </row>
    <row r="528" spans="1:12" ht="15" customHeight="1" x14ac:dyDescent="0.3">
      <c r="G528" s="28">
        <f>+G527-G9</f>
        <v>0</v>
      </c>
      <c r="H528" s="28">
        <f>+H527-H9</f>
        <v>0</v>
      </c>
      <c r="I528" s="28">
        <f>+I527-I9</f>
        <v>-0.11000001430511475</v>
      </c>
    </row>
  </sheetData>
  <autoFilter ref="A18:BI528"/>
  <mergeCells count="59">
    <mergeCell ref="A475:B475"/>
    <mergeCell ref="A476:F476"/>
    <mergeCell ref="A477:F477"/>
    <mergeCell ref="C43:F43"/>
    <mergeCell ref="C17:F17"/>
    <mergeCell ref="C73:F73"/>
    <mergeCell ref="C68:F68"/>
    <mergeCell ref="A474:F474"/>
    <mergeCell ref="C247:F247"/>
    <mergeCell ref="A6:A7"/>
    <mergeCell ref="B6:B7"/>
    <mergeCell ref="A3:L3"/>
    <mergeCell ref="A9:F9"/>
    <mergeCell ref="B472:B473"/>
    <mergeCell ref="B461:B462"/>
    <mergeCell ref="C463:F463"/>
    <mergeCell ref="A16:F16"/>
    <mergeCell ref="A15:F15"/>
    <mergeCell ref="C348:F348"/>
    <mergeCell ref="C316:F316"/>
    <mergeCell ref="C310:F310"/>
    <mergeCell ref="C276:F276"/>
    <mergeCell ref="C263:F263"/>
    <mergeCell ref="C466:F466"/>
    <mergeCell ref="C422:F422"/>
    <mergeCell ref="J1:L1"/>
    <mergeCell ref="C6:C7"/>
    <mergeCell ref="D6:E7"/>
    <mergeCell ref="D8:E8"/>
    <mergeCell ref="L6:L7"/>
    <mergeCell ref="F6:F7"/>
    <mergeCell ref="G6:G7"/>
    <mergeCell ref="H6:H7"/>
    <mergeCell ref="I6:I7"/>
    <mergeCell ref="J6:J7"/>
    <mergeCell ref="K6:K7"/>
    <mergeCell ref="C507:F507"/>
    <mergeCell ref="C510:F510"/>
    <mergeCell ref="C517:F517"/>
    <mergeCell ref="C520:F520"/>
    <mergeCell ref="C406:F406"/>
    <mergeCell ref="C478:F478"/>
    <mergeCell ref="C493:F493"/>
    <mergeCell ref="A10:B10"/>
    <mergeCell ref="A11:F11"/>
    <mergeCell ref="A12:F12"/>
    <mergeCell ref="A13:F13"/>
    <mergeCell ref="C501:F501"/>
    <mergeCell ref="C496:F496"/>
    <mergeCell ref="A14:B14"/>
    <mergeCell ref="C387:F387"/>
    <mergeCell ref="C358:F358"/>
    <mergeCell ref="C48:F48"/>
    <mergeCell ref="B332:B333"/>
    <mergeCell ref="C187:F187"/>
    <mergeCell ref="C174:F174"/>
    <mergeCell ref="C162:F162"/>
    <mergeCell ref="C152:F152"/>
    <mergeCell ref="C259:F259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5" firstPageNumber="226" orientation="portrait" useFirstPageNumber="1" r:id="rId1"/>
  <headerFooter alignWithMargins="0">
    <oddHeader>&amp;C&amp;"Arial,Kursywa"&amp;10Informacja o przebiegu wykonania budżetu Województwa Zachodniopomorskiego za I półrocze 2012 r. - załączniki
_________________________________________________________________________________________________________________________</oddHeader>
    <oddFooter>&amp;C&amp;"Arial,Normalny"&amp;10&amp;P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opLeftCell="A4" workbookViewId="0">
      <selection activeCell="E8" sqref="E8:E16"/>
    </sheetView>
  </sheetViews>
  <sheetFormatPr defaultRowHeight="15" x14ac:dyDescent="0.2"/>
  <cols>
    <col min="1" max="1" width="2.140625" style="3" customWidth="1"/>
    <col min="2" max="2" width="60" style="3" customWidth="1"/>
    <col min="3" max="3" width="20.7109375" style="3" customWidth="1"/>
    <col min="4" max="4" width="16.5703125" style="3" customWidth="1"/>
    <col min="5" max="5" width="12.85546875" style="3" customWidth="1"/>
    <col min="6" max="6" width="14.42578125" style="3" customWidth="1"/>
    <col min="7" max="256" width="9.140625" style="3"/>
    <col min="257" max="257" width="2.140625" style="3" customWidth="1"/>
    <col min="258" max="258" width="60" style="3" customWidth="1"/>
    <col min="259" max="259" width="20.7109375" style="3" customWidth="1"/>
    <col min="260" max="260" width="16.5703125" style="3" customWidth="1"/>
    <col min="261" max="261" width="12.85546875" style="3" customWidth="1"/>
    <col min="262" max="512" width="9.140625" style="3"/>
    <col min="513" max="513" width="2.140625" style="3" customWidth="1"/>
    <col min="514" max="514" width="60" style="3" customWidth="1"/>
    <col min="515" max="515" width="20.7109375" style="3" customWidth="1"/>
    <col min="516" max="516" width="16.5703125" style="3" customWidth="1"/>
    <col min="517" max="517" width="12.85546875" style="3" customWidth="1"/>
    <col min="518" max="768" width="9.140625" style="3"/>
    <col min="769" max="769" width="2.140625" style="3" customWidth="1"/>
    <col min="770" max="770" width="60" style="3" customWidth="1"/>
    <col min="771" max="771" width="20.7109375" style="3" customWidth="1"/>
    <col min="772" max="772" width="16.5703125" style="3" customWidth="1"/>
    <col min="773" max="773" width="12.85546875" style="3" customWidth="1"/>
    <col min="774" max="1024" width="9.140625" style="3"/>
    <col min="1025" max="1025" width="2.140625" style="3" customWidth="1"/>
    <col min="1026" max="1026" width="60" style="3" customWidth="1"/>
    <col min="1027" max="1027" width="20.7109375" style="3" customWidth="1"/>
    <col min="1028" max="1028" width="16.5703125" style="3" customWidth="1"/>
    <col min="1029" max="1029" width="12.85546875" style="3" customWidth="1"/>
    <col min="1030" max="1280" width="9.140625" style="3"/>
    <col min="1281" max="1281" width="2.140625" style="3" customWidth="1"/>
    <col min="1282" max="1282" width="60" style="3" customWidth="1"/>
    <col min="1283" max="1283" width="20.7109375" style="3" customWidth="1"/>
    <col min="1284" max="1284" width="16.5703125" style="3" customWidth="1"/>
    <col min="1285" max="1285" width="12.85546875" style="3" customWidth="1"/>
    <col min="1286" max="1536" width="9.140625" style="3"/>
    <col min="1537" max="1537" width="2.140625" style="3" customWidth="1"/>
    <col min="1538" max="1538" width="60" style="3" customWidth="1"/>
    <col min="1539" max="1539" width="20.7109375" style="3" customWidth="1"/>
    <col min="1540" max="1540" width="16.5703125" style="3" customWidth="1"/>
    <col min="1541" max="1541" width="12.85546875" style="3" customWidth="1"/>
    <col min="1542" max="1792" width="9.140625" style="3"/>
    <col min="1793" max="1793" width="2.140625" style="3" customWidth="1"/>
    <col min="1794" max="1794" width="60" style="3" customWidth="1"/>
    <col min="1795" max="1795" width="20.7109375" style="3" customWidth="1"/>
    <col min="1796" max="1796" width="16.5703125" style="3" customWidth="1"/>
    <col min="1797" max="1797" width="12.85546875" style="3" customWidth="1"/>
    <col min="1798" max="2048" width="9.140625" style="3"/>
    <col min="2049" max="2049" width="2.140625" style="3" customWidth="1"/>
    <col min="2050" max="2050" width="60" style="3" customWidth="1"/>
    <col min="2051" max="2051" width="20.7109375" style="3" customWidth="1"/>
    <col min="2052" max="2052" width="16.5703125" style="3" customWidth="1"/>
    <col min="2053" max="2053" width="12.85546875" style="3" customWidth="1"/>
    <col min="2054" max="2304" width="9.140625" style="3"/>
    <col min="2305" max="2305" width="2.140625" style="3" customWidth="1"/>
    <col min="2306" max="2306" width="60" style="3" customWidth="1"/>
    <col min="2307" max="2307" width="20.7109375" style="3" customWidth="1"/>
    <col min="2308" max="2308" width="16.5703125" style="3" customWidth="1"/>
    <col min="2309" max="2309" width="12.85546875" style="3" customWidth="1"/>
    <col min="2310" max="2560" width="9.140625" style="3"/>
    <col min="2561" max="2561" width="2.140625" style="3" customWidth="1"/>
    <col min="2562" max="2562" width="60" style="3" customWidth="1"/>
    <col min="2563" max="2563" width="20.7109375" style="3" customWidth="1"/>
    <col min="2564" max="2564" width="16.5703125" style="3" customWidth="1"/>
    <col min="2565" max="2565" width="12.85546875" style="3" customWidth="1"/>
    <col min="2566" max="2816" width="9.140625" style="3"/>
    <col min="2817" max="2817" width="2.140625" style="3" customWidth="1"/>
    <col min="2818" max="2818" width="60" style="3" customWidth="1"/>
    <col min="2819" max="2819" width="20.7109375" style="3" customWidth="1"/>
    <col min="2820" max="2820" width="16.5703125" style="3" customWidth="1"/>
    <col min="2821" max="2821" width="12.85546875" style="3" customWidth="1"/>
    <col min="2822" max="3072" width="9.140625" style="3"/>
    <col min="3073" max="3073" width="2.140625" style="3" customWidth="1"/>
    <col min="3074" max="3074" width="60" style="3" customWidth="1"/>
    <col min="3075" max="3075" width="20.7109375" style="3" customWidth="1"/>
    <col min="3076" max="3076" width="16.5703125" style="3" customWidth="1"/>
    <col min="3077" max="3077" width="12.85546875" style="3" customWidth="1"/>
    <col min="3078" max="3328" width="9.140625" style="3"/>
    <col min="3329" max="3329" width="2.140625" style="3" customWidth="1"/>
    <col min="3330" max="3330" width="60" style="3" customWidth="1"/>
    <col min="3331" max="3331" width="20.7109375" style="3" customWidth="1"/>
    <col min="3332" max="3332" width="16.5703125" style="3" customWidth="1"/>
    <col min="3333" max="3333" width="12.85546875" style="3" customWidth="1"/>
    <col min="3334" max="3584" width="9.140625" style="3"/>
    <col min="3585" max="3585" width="2.140625" style="3" customWidth="1"/>
    <col min="3586" max="3586" width="60" style="3" customWidth="1"/>
    <col min="3587" max="3587" width="20.7109375" style="3" customWidth="1"/>
    <col min="3588" max="3588" width="16.5703125" style="3" customWidth="1"/>
    <col min="3589" max="3589" width="12.85546875" style="3" customWidth="1"/>
    <col min="3590" max="3840" width="9.140625" style="3"/>
    <col min="3841" max="3841" width="2.140625" style="3" customWidth="1"/>
    <col min="3842" max="3842" width="60" style="3" customWidth="1"/>
    <col min="3843" max="3843" width="20.7109375" style="3" customWidth="1"/>
    <col min="3844" max="3844" width="16.5703125" style="3" customWidth="1"/>
    <col min="3845" max="3845" width="12.85546875" style="3" customWidth="1"/>
    <col min="3846" max="4096" width="9.140625" style="3"/>
    <col min="4097" max="4097" width="2.140625" style="3" customWidth="1"/>
    <col min="4098" max="4098" width="60" style="3" customWidth="1"/>
    <col min="4099" max="4099" width="20.7109375" style="3" customWidth="1"/>
    <col min="4100" max="4100" width="16.5703125" style="3" customWidth="1"/>
    <col min="4101" max="4101" width="12.85546875" style="3" customWidth="1"/>
    <col min="4102" max="4352" width="9.140625" style="3"/>
    <col min="4353" max="4353" width="2.140625" style="3" customWidth="1"/>
    <col min="4354" max="4354" width="60" style="3" customWidth="1"/>
    <col min="4355" max="4355" width="20.7109375" style="3" customWidth="1"/>
    <col min="4356" max="4356" width="16.5703125" style="3" customWidth="1"/>
    <col min="4357" max="4357" width="12.85546875" style="3" customWidth="1"/>
    <col min="4358" max="4608" width="9.140625" style="3"/>
    <col min="4609" max="4609" width="2.140625" style="3" customWidth="1"/>
    <col min="4610" max="4610" width="60" style="3" customWidth="1"/>
    <col min="4611" max="4611" width="20.7109375" style="3" customWidth="1"/>
    <col min="4612" max="4612" width="16.5703125" style="3" customWidth="1"/>
    <col min="4613" max="4613" width="12.85546875" style="3" customWidth="1"/>
    <col min="4614" max="4864" width="9.140625" style="3"/>
    <col min="4865" max="4865" width="2.140625" style="3" customWidth="1"/>
    <col min="4866" max="4866" width="60" style="3" customWidth="1"/>
    <col min="4867" max="4867" width="20.7109375" style="3" customWidth="1"/>
    <col min="4868" max="4868" width="16.5703125" style="3" customWidth="1"/>
    <col min="4869" max="4869" width="12.85546875" style="3" customWidth="1"/>
    <col min="4870" max="5120" width="9.140625" style="3"/>
    <col min="5121" max="5121" width="2.140625" style="3" customWidth="1"/>
    <col min="5122" max="5122" width="60" style="3" customWidth="1"/>
    <col min="5123" max="5123" width="20.7109375" style="3" customWidth="1"/>
    <col min="5124" max="5124" width="16.5703125" style="3" customWidth="1"/>
    <col min="5125" max="5125" width="12.85546875" style="3" customWidth="1"/>
    <col min="5126" max="5376" width="9.140625" style="3"/>
    <col min="5377" max="5377" width="2.140625" style="3" customWidth="1"/>
    <col min="5378" max="5378" width="60" style="3" customWidth="1"/>
    <col min="5379" max="5379" width="20.7109375" style="3" customWidth="1"/>
    <col min="5380" max="5380" width="16.5703125" style="3" customWidth="1"/>
    <col min="5381" max="5381" width="12.85546875" style="3" customWidth="1"/>
    <col min="5382" max="5632" width="9.140625" style="3"/>
    <col min="5633" max="5633" width="2.140625" style="3" customWidth="1"/>
    <col min="5634" max="5634" width="60" style="3" customWidth="1"/>
    <col min="5635" max="5635" width="20.7109375" style="3" customWidth="1"/>
    <col min="5636" max="5636" width="16.5703125" style="3" customWidth="1"/>
    <col min="5637" max="5637" width="12.85546875" style="3" customWidth="1"/>
    <col min="5638" max="5888" width="9.140625" style="3"/>
    <col min="5889" max="5889" width="2.140625" style="3" customWidth="1"/>
    <col min="5890" max="5890" width="60" style="3" customWidth="1"/>
    <col min="5891" max="5891" width="20.7109375" style="3" customWidth="1"/>
    <col min="5892" max="5892" width="16.5703125" style="3" customWidth="1"/>
    <col min="5893" max="5893" width="12.85546875" style="3" customWidth="1"/>
    <col min="5894" max="6144" width="9.140625" style="3"/>
    <col min="6145" max="6145" width="2.140625" style="3" customWidth="1"/>
    <col min="6146" max="6146" width="60" style="3" customWidth="1"/>
    <col min="6147" max="6147" width="20.7109375" style="3" customWidth="1"/>
    <col min="6148" max="6148" width="16.5703125" style="3" customWidth="1"/>
    <col min="6149" max="6149" width="12.85546875" style="3" customWidth="1"/>
    <col min="6150" max="6400" width="9.140625" style="3"/>
    <col min="6401" max="6401" width="2.140625" style="3" customWidth="1"/>
    <col min="6402" max="6402" width="60" style="3" customWidth="1"/>
    <col min="6403" max="6403" width="20.7109375" style="3" customWidth="1"/>
    <col min="6404" max="6404" width="16.5703125" style="3" customWidth="1"/>
    <col min="6405" max="6405" width="12.85546875" style="3" customWidth="1"/>
    <col min="6406" max="6656" width="9.140625" style="3"/>
    <col min="6657" max="6657" width="2.140625" style="3" customWidth="1"/>
    <col min="6658" max="6658" width="60" style="3" customWidth="1"/>
    <col min="6659" max="6659" width="20.7109375" style="3" customWidth="1"/>
    <col min="6660" max="6660" width="16.5703125" style="3" customWidth="1"/>
    <col min="6661" max="6661" width="12.85546875" style="3" customWidth="1"/>
    <col min="6662" max="6912" width="9.140625" style="3"/>
    <col min="6913" max="6913" width="2.140625" style="3" customWidth="1"/>
    <col min="6914" max="6914" width="60" style="3" customWidth="1"/>
    <col min="6915" max="6915" width="20.7109375" style="3" customWidth="1"/>
    <col min="6916" max="6916" width="16.5703125" style="3" customWidth="1"/>
    <col min="6917" max="6917" width="12.85546875" style="3" customWidth="1"/>
    <col min="6918" max="7168" width="9.140625" style="3"/>
    <col min="7169" max="7169" width="2.140625" style="3" customWidth="1"/>
    <col min="7170" max="7170" width="60" style="3" customWidth="1"/>
    <col min="7171" max="7171" width="20.7109375" style="3" customWidth="1"/>
    <col min="7172" max="7172" width="16.5703125" style="3" customWidth="1"/>
    <col min="7173" max="7173" width="12.85546875" style="3" customWidth="1"/>
    <col min="7174" max="7424" width="9.140625" style="3"/>
    <col min="7425" max="7425" width="2.140625" style="3" customWidth="1"/>
    <col min="7426" max="7426" width="60" style="3" customWidth="1"/>
    <col min="7427" max="7427" width="20.7109375" style="3" customWidth="1"/>
    <col min="7428" max="7428" width="16.5703125" style="3" customWidth="1"/>
    <col min="7429" max="7429" width="12.85546875" style="3" customWidth="1"/>
    <col min="7430" max="7680" width="9.140625" style="3"/>
    <col min="7681" max="7681" width="2.140625" style="3" customWidth="1"/>
    <col min="7682" max="7682" width="60" style="3" customWidth="1"/>
    <col min="7683" max="7683" width="20.7109375" style="3" customWidth="1"/>
    <col min="7684" max="7684" width="16.5703125" style="3" customWidth="1"/>
    <col min="7685" max="7685" width="12.85546875" style="3" customWidth="1"/>
    <col min="7686" max="7936" width="9.140625" style="3"/>
    <col min="7937" max="7937" width="2.140625" style="3" customWidth="1"/>
    <col min="7938" max="7938" width="60" style="3" customWidth="1"/>
    <col min="7939" max="7939" width="20.7109375" style="3" customWidth="1"/>
    <col min="7940" max="7940" width="16.5703125" style="3" customWidth="1"/>
    <col min="7941" max="7941" width="12.85546875" style="3" customWidth="1"/>
    <col min="7942" max="8192" width="9.140625" style="3"/>
    <col min="8193" max="8193" width="2.140625" style="3" customWidth="1"/>
    <col min="8194" max="8194" width="60" style="3" customWidth="1"/>
    <col min="8195" max="8195" width="20.7109375" style="3" customWidth="1"/>
    <col min="8196" max="8196" width="16.5703125" style="3" customWidth="1"/>
    <col min="8197" max="8197" width="12.85546875" style="3" customWidth="1"/>
    <col min="8198" max="8448" width="9.140625" style="3"/>
    <col min="8449" max="8449" width="2.140625" style="3" customWidth="1"/>
    <col min="8450" max="8450" width="60" style="3" customWidth="1"/>
    <col min="8451" max="8451" width="20.7109375" style="3" customWidth="1"/>
    <col min="8452" max="8452" width="16.5703125" style="3" customWidth="1"/>
    <col min="8453" max="8453" width="12.85546875" style="3" customWidth="1"/>
    <col min="8454" max="8704" width="9.140625" style="3"/>
    <col min="8705" max="8705" width="2.140625" style="3" customWidth="1"/>
    <col min="8706" max="8706" width="60" style="3" customWidth="1"/>
    <col min="8707" max="8707" width="20.7109375" style="3" customWidth="1"/>
    <col min="8708" max="8708" width="16.5703125" style="3" customWidth="1"/>
    <col min="8709" max="8709" width="12.85546875" style="3" customWidth="1"/>
    <col min="8710" max="8960" width="9.140625" style="3"/>
    <col min="8961" max="8961" width="2.140625" style="3" customWidth="1"/>
    <col min="8962" max="8962" width="60" style="3" customWidth="1"/>
    <col min="8963" max="8963" width="20.7109375" style="3" customWidth="1"/>
    <col min="8964" max="8964" width="16.5703125" style="3" customWidth="1"/>
    <col min="8965" max="8965" width="12.85546875" style="3" customWidth="1"/>
    <col min="8966" max="9216" width="9.140625" style="3"/>
    <col min="9217" max="9217" width="2.140625" style="3" customWidth="1"/>
    <col min="9218" max="9218" width="60" style="3" customWidth="1"/>
    <col min="9219" max="9219" width="20.7109375" style="3" customWidth="1"/>
    <col min="9220" max="9220" width="16.5703125" style="3" customWidth="1"/>
    <col min="9221" max="9221" width="12.85546875" style="3" customWidth="1"/>
    <col min="9222" max="9472" width="9.140625" style="3"/>
    <col min="9473" max="9473" width="2.140625" style="3" customWidth="1"/>
    <col min="9474" max="9474" width="60" style="3" customWidth="1"/>
    <col min="9475" max="9475" width="20.7109375" style="3" customWidth="1"/>
    <col min="9476" max="9476" width="16.5703125" style="3" customWidth="1"/>
    <col min="9477" max="9477" width="12.85546875" style="3" customWidth="1"/>
    <col min="9478" max="9728" width="9.140625" style="3"/>
    <col min="9729" max="9729" width="2.140625" style="3" customWidth="1"/>
    <col min="9730" max="9730" width="60" style="3" customWidth="1"/>
    <col min="9731" max="9731" width="20.7109375" style="3" customWidth="1"/>
    <col min="9732" max="9732" width="16.5703125" style="3" customWidth="1"/>
    <col min="9733" max="9733" width="12.85546875" style="3" customWidth="1"/>
    <col min="9734" max="9984" width="9.140625" style="3"/>
    <col min="9985" max="9985" width="2.140625" style="3" customWidth="1"/>
    <col min="9986" max="9986" width="60" style="3" customWidth="1"/>
    <col min="9987" max="9987" width="20.7109375" style="3" customWidth="1"/>
    <col min="9988" max="9988" width="16.5703125" style="3" customWidth="1"/>
    <col min="9989" max="9989" width="12.85546875" style="3" customWidth="1"/>
    <col min="9990" max="10240" width="9.140625" style="3"/>
    <col min="10241" max="10241" width="2.140625" style="3" customWidth="1"/>
    <col min="10242" max="10242" width="60" style="3" customWidth="1"/>
    <col min="10243" max="10243" width="20.7109375" style="3" customWidth="1"/>
    <col min="10244" max="10244" width="16.5703125" style="3" customWidth="1"/>
    <col min="10245" max="10245" width="12.85546875" style="3" customWidth="1"/>
    <col min="10246" max="10496" width="9.140625" style="3"/>
    <col min="10497" max="10497" width="2.140625" style="3" customWidth="1"/>
    <col min="10498" max="10498" width="60" style="3" customWidth="1"/>
    <col min="10499" max="10499" width="20.7109375" style="3" customWidth="1"/>
    <col min="10500" max="10500" width="16.5703125" style="3" customWidth="1"/>
    <col min="10501" max="10501" width="12.85546875" style="3" customWidth="1"/>
    <col min="10502" max="10752" width="9.140625" style="3"/>
    <col min="10753" max="10753" width="2.140625" style="3" customWidth="1"/>
    <col min="10754" max="10754" width="60" style="3" customWidth="1"/>
    <col min="10755" max="10755" width="20.7109375" style="3" customWidth="1"/>
    <col min="10756" max="10756" width="16.5703125" style="3" customWidth="1"/>
    <col min="10757" max="10757" width="12.85546875" style="3" customWidth="1"/>
    <col min="10758" max="11008" width="9.140625" style="3"/>
    <col min="11009" max="11009" width="2.140625" style="3" customWidth="1"/>
    <col min="11010" max="11010" width="60" style="3" customWidth="1"/>
    <col min="11011" max="11011" width="20.7109375" style="3" customWidth="1"/>
    <col min="11012" max="11012" width="16.5703125" style="3" customWidth="1"/>
    <col min="11013" max="11013" width="12.85546875" style="3" customWidth="1"/>
    <col min="11014" max="11264" width="9.140625" style="3"/>
    <col min="11265" max="11265" width="2.140625" style="3" customWidth="1"/>
    <col min="11266" max="11266" width="60" style="3" customWidth="1"/>
    <col min="11267" max="11267" width="20.7109375" style="3" customWidth="1"/>
    <col min="11268" max="11268" width="16.5703125" style="3" customWidth="1"/>
    <col min="11269" max="11269" width="12.85546875" style="3" customWidth="1"/>
    <col min="11270" max="11520" width="9.140625" style="3"/>
    <col min="11521" max="11521" width="2.140625" style="3" customWidth="1"/>
    <col min="11522" max="11522" width="60" style="3" customWidth="1"/>
    <col min="11523" max="11523" width="20.7109375" style="3" customWidth="1"/>
    <col min="11524" max="11524" width="16.5703125" style="3" customWidth="1"/>
    <col min="11525" max="11525" width="12.85546875" style="3" customWidth="1"/>
    <col min="11526" max="11776" width="9.140625" style="3"/>
    <col min="11777" max="11777" width="2.140625" style="3" customWidth="1"/>
    <col min="11778" max="11778" width="60" style="3" customWidth="1"/>
    <col min="11779" max="11779" width="20.7109375" style="3" customWidth="1"/>
    <col min="11780" max="11780" width="16.5703125" style="3" customWidth="1"/>
    <col min="11781" max="11781" width="12.85546875" style="3" customWidth="1"/>
    <col min="11782" max="12032" width="9.140625" style="3"/>
    <col min="12033" max="12033" width="2.140625" style="3" customWidth="1"/>
    <col min="12034" max="12034" width="60" style="3" customWidth="1"/>
    <col min="12035" max="12035" width="20.7109375" style="3" customWidth="1"/>
    <col min="12036" max="12036" width="16.5703125" style="3" customWidth="1"/>
    <col min="12037" max="12037" width="12.85546875" style="3" customWidth="1"/>
    <col min="12038" max="12288" width="9.140625" style="3"/>
    <col min="12289" max="12289" width="2.140625" style="3" customWidth="1"/>
    <col min="12290" max="12290" width="60" style="3" customWidth="1"/>
    <col min="12291" max="12291" width="20.7109375" style="3" customWidth="1"/>
    <col min="12292" max="12292" width="16.5703125" style="3" customWidth="1"/>
    <col min="12293" max="12293" width="12.85546875" style="3" customWidth="1"/>
    <col min="12294" max="12544" width="9.140625" style="3"/>
    <col min="12545" max="12545" width="2.140625" style="3" customWidth="1"/>
    <col min="12546" max="12546" width="60" style="3" customWidth="1"/>
    <col min="12547" max="12547" width="20.7109375" style="3" customWidth="1"/>
    <col min="12548" max="12548" width="16.5703125" style="3" customWidth="1"/>
    <col min="12549" max="12549" width="12.85546875" style="3" customWidth="1"/>
    <col min="12550" max="12800" width="9.140625" style="3"/>
    <col min="12801" max="12801" width="2.140625" style="3" customWidth="1"/>
    <col min="12802" max="12802" width="60" style="3" customWidth="1"/>
    <col min="12803" max="12803" width="20.7109375" style="3" customWidth="1"/>
    <col min="12804" max="12804" width="16.5703125" style="3" customWidth="1"/>
    <col min="12805" max="12805" width="12.85546875" style="3" customWidth="1"/>
    <col min="12806" max="13056" width="9.140625" style="3"/>
    <col min="13057" max="13057" width="2.140625" style="3" customWidth="1"/>
    <col min="13058" max="13058" width="60" style="3" customWidth="1"/>
    <col min="13059" max="13059" width="20.7109375" style="3" customWidth="1"/>
    <col min="13060" max="13060" width="16.5703125" style="3" customWidth="1"/>
    <col min="13061" max="13061" width="12.85546875" style="3" customWidth="1"/>
    <col min="13062" max="13312" width="9.140625" style="3"/>
    <col min="13313" max="13313" width="2.140625" style="3" customWidth="1"/>
    <col min="13314" max="13314" width="60" style="3" customWidth="1"/>
    <col min="13315" max="13315" width="20.7109375" style="3" customWidth="1"/>
    <col min="13316" max="13316" width="16.5703125" style="3" customWidth="1"/>
    <col min="13317" max="13317" width="12.85546875" style="3" customWidth="1"/>
    <col min="13318" max="13568" width="9.140625" style="3"/>
    <col min="13569" max="13569" width="2.140625" style="3" customWidth="1"/>
    <col min="13570" max="13570" width="60" style="3" customWidth="1"/>
    <col min="13571" max="13571" width="20.7109375" style="3" customWidth="1"/>
    <col min="13572" max="13572" width="16.5703125" style="3" customWidth="1"/>
    <col min="13573" max="13573" width="12.85546875" style="3" customWidth="1"/>
    <col min="13574" max="13824" width="9.140625" style="3"/>
    <col min="13825" max="13825" width="2.140625" style="3" customWidth="1"/>
    <col min="13826" max="13826" width="60" style="3" customWidth="1"/>
    <col min="13827" max="13827" width="20.7109375" style="3" customWidth="1"/>
    <col min="13828" max="13828" width="16.5703125" style="3" customWidth="1"/>
    <col min="13829" max="13829" width="12.85546875" style="3" customWidth="1"/>
    <col min="13830" max="14080" width="9.140625" style="3"/>
    <col min="14081" max="14081" width="2.140625" style="3" customWidth="1"/>
    <col min="14082" max="14082" width="60" style="3" customWidth="1"/>
    <col min="14083" max="14083" width="20.7109375" style="3" customWidth="1"/>
    <col min="14084" max="14084" width="16.5703125" style="3" customWidth="1"/>
    <col min="14085" max="14085" width="12.85546875" style="3" customWidth="1"/>
    <col min="14086" max="14336" width="9.140625" style="3"/>
    <col min="14337" max="14337" width="2.140625" style="3" customWidth="1"/>
    <col min="14338" max="14338" width="60" style="3" customWidth="1"/>
    <col min="14339" max="14339" width="20.7109375" style="3" customWidth="1"/>
    <col min="14340" max="14340" width="16.5703125" style="3" customWidth="1"/>
    <col min="14341" max="14341" width="12.85546875" style="3" customWidth="1"/>
    <col min="14342" max="14592" width="9.140625" style="3"/>
    <col min="14593" max="14593" width="2.140625" style="3" customWidth="1"/>
    <col min="14594" max="14594" width="60" style="3" customWidth="1"/>
    <col min="14595" max="14595" width="20.7109375" style="3" customWidth="1"/>
    <col min="14596" max="14596" width="16.5703125" style="3" customWidth="1"/>
    <col min="14597" max="14597" width="12.85546875" style="3" customWidth="1"/>
    <col min="14598" max="14848" width="9.140625" style="3"/>
    <col min="14849" max="14849" width="2.140625" style="3" customWidth="1"/>
    <col min="14850" max="14850" width="60" style="3" customWidth="1"/>
    <col min="14851" max="14851" width="20.7109375" style="3" customWidth="1"/>
    <col min="14852" max="14852" width="16.5703125" style="3" customWidth="1"/>
    <col min="14853" max="14853" width="12.85546875" style="3" customWidth="1"/>
    <col min="14854" max="15104" width="9.140625" style="3"/>
    <col min="15105" max="15105" width="2.140625" style="3" customWidth="1"/>
    <col min="15106" max="15106" width="60" style="3" customWidth="1"/>
    <col min="15107" max="15107" width="20.7109375" style="3" customWidth="1"/>
    <col min="15108" max="15108" width="16.5703125" style="3" customWidth="1"/>
    <col min="15109" max="15109" width="12.85546875" style="3" customWidth="1"/>
    <col min="15110" max="15360" width="9.140625" style="3"/>
    <col min="15361" max="15361" width="2.140625" style="3" customWidth="1"/>
    <col min="15362" max="15362" width="60" style="3" customWidth="1"/>
    <col min="15363" max="15363" width="20.7109375" style="3" customWidth="1"/>
    <col min="15364" max="15364" width="16.5703125" style="3" customWidth="1"/>
    <col min="15365" max="15365" width="12.85546875" style="3" customWidth="1"/>
    <col min="15366" max="15616" width="9.140625" style="3"/>
    <col min="15617" max="15617" width="2.140625" style="3" customWidth="1"/>
    <col min="15618" max="15618" width="60" style="3" customWidth="1"/>
    <col min="15619" max="15619" width="20.7109375" style="3" customWidth="1"/>
    <col min="15620" max="15620" width="16.5703125" style="3" customWidth="1"/>
    <col min="15621" max="15621" width="12.85546875" style="3" customWidth="1"/>
    <col min="15622" max="15872" width="9.140625" style="3"/>
    <col min="15873" max="15873" width="2.140625" style="3" customWidth="1"/>
    <col min="15874" max="15874" width="60" style="3" customWidth="1"/>
    <col min="15875" max="15875" width="20.7109375" style="3" customWidth="1"/>
    <col min="15876" max="15876" width="16.5703125" style="3" customWidth="1"/>
    <col min="15877" max="15877" width="12.85546875" style="3" customWidth="1"/>
    <col min="15878" max="16128" width="9.140625" style="3"/>
    <col min="16129" max="16129" width="2.140625" style="3" customWidth="1"/>
    <col min="16130" max="16130" width="60" style="3" customWidth="1"/>
    <col min="16131" max="16131" width="20.7109375" style="3" customWidth="1"/>
    <col min="16132" max="16132" width="16.5703125" style="3" customWidth="1"/>
    <col min="16133" max="16133" width="12.85546875" style="3" customWidth="1"/>
    <col min="16134" max="16384" width="9.140625" style="3"/>
  </cols>
  <sheetData>
    <row r="3" spans="2:6" ht="20.25" x14ac:dyDescent="0.3">
      <c r="B3" s="196" t="s">
        <v>333</v>
      </c>
      <c r="C3" s="196"/>
      <c r="D3" s="196"/>
      <c r="E3" s="196"/>
    </row>
    <row r="5" spans="2:6" ht="15.75" thickBot="1" x14ac:dyDescent="0.25"/>
    <row r="6" spans="2:6" ht="47.25" x14ac:dyDescent="0.2">
      <c r="B6" s="4" t="s">
        <v>334</v>
      </c>
      <c r="C6" s="5" t="s">
        <v>537</v>
      </c>
      <c r="D6" s="6" t="s">
        <v>335</v>
      </c>
      <c r="E6" s="7" t="s">
        <v>336</v>
      </c>
      <c r="F6" s="6" t="s">
        <v>322</v>
      </c>
    </row>
    <row r="7" spans="2:6" x14ac:dyDescent="0.2">
      <c r="B7" s="8" t="s">
        <v>337</v>
      </c>
      <c r="C7" s="9" t="s">
        <v>338</v>
      </c>
      <c r="D7" s="20" t="s">
        <v>350</v>
      </c>
      <c r="E7" s="10" t="s">
        <v>351</v>
      </c>
      <c r="F7" s="20" t="s">
        <v>339</v>
      </c>
    </row>
    <row r="8" spans="2:6" x14ac:dyDescent="0.2">
      <c r="B8" s="11" t="s">
        <v>340</v>
      </c>
      <c r="C8" s="12">
        <f>+zadania!H73+zadania!H68+zadania!H493</f>
        <v>450276545</v>
      </c>
      <c r="D8" s="12">
        <f>+zadania!I73+zadania!I68+zadania!I493</f>
        <v>140635126.38999999</v>
      </c>
      <c r="E8" s="124">
        <f t="shared" ref="E8:E16" si="0">+D8/$D$17</f>
        <v>0.48792293836295614</v>
      </c>
      <c r="F8" s="12">
        <f>+D8-C8*25%</f>
        <v>28065990.139999986</v>
      </c>
    </row>
    <row r="9" spans="2:6" x14ac:dyDescent="0.2">
      <c r="B9" s="11" t="s">
        <v>342</v>
      </c>
      <c r="C9" s="12">
        <f>+zadania!H187+zadania!H247+zadania!H501</f>
        <v>79774798</v>
      </c>
      <c r="D9" s="12">
        <f>+zadania!I187+zadania!I247+zadania!I501</f>
        <v>35798090.159999996</v>
      </c>
      <c r="E9" s="124">
        <f t="shared" si="0"/>
        <v>0.12419876731373432</v>
      </c>
      <c r="F9" s="12">
        <f>+D9-C9*25%</f>
        <v>15854390.659999996</v>
      </c>
    </row>
    <row r="10" spans="2:6" x14ac:dyDescent="0.2">
      <c r="B10" s="11" t="s">
        <v>344</v>
      </c>
      <c r="C10" s="12">
        <f>+zadania!H422+zadania!H152+zadania!H466</f>
        <v>67483993</v>
      </c>
      <c r="D10" s="12">
        <f>+zadania!I422+zadania!I152+zadania!I466</f>
        <v>28500391.850000001</v>
      </c>
      <c r="E10" s="124">
        <f t="shared" si="0"/>
        <v>9.8879954765955597E-2</v>
      </c>
      <c r="F10" s="12">
        <f>+D10-C10*25%</f>
        <v>11629393.600000001</v>
      </c>
    </row>
    <row r="11" spans="2:6" x14ac:dyDescent="0.2">
      <c r="B11" s="11" t="s">
        <v>343</v>
      </c>
      <c r="C11" s="12">
        <f>+zadania!H48+zadania!H358+zadania!H517</f>
        <v>84071269</v>
      </c>
      <c r="D11" s="12">
        <f>+zadania!I48+zadania!I358+zadania!I517</f>
        <v>28290412.02</v>
      </c>
      <c r="E11" s="124">
        <f t="shared" si="0"/>
        <v>9.8151445621188771E-2</v>
      </c>
      <c r="F11" s="12">
        <f>+D11-C11*25%</f>
        <v>7272594.7699999996</v>
      </c>
    </row>
    <row r="12" spans="2:6" x14ac:dyDescent="0.2">
      <c r="B12" s="11" t="s">
        <v>341</v>
      </c>
      <c r="C12" s="12">
        <f>+zadania!H17+zadania!H43+zadania!H406+zadania!H478+zadania!H520+zadania!H463</f>
        <v>129030260</v>
      </c>
      <c r="D12" s="12">
        <f>+zadania!I17+zadania!I43+zadania!I406+zadania!I478+zadania!I520+zadania!I463</f>
        <v>21133594.240000002</v>
      </c>
      <c r="E12" s="124">
        <f t="shared" si="0"/>
        <v>7.3321407421044288E-2</v>
      </c>
      <c r="F12" s="12">
        <f t="shared" ref="F12:F16" si="1">+D12-C12*25%</f>
        <v>-11123970.759999998</v>
      </c>
    </row>
    <row r="13" spans="2:6" x14ac:dyDescent="0.2">
      <c r="B13" s="11" t="s">
        <v>346</v>
      </c>
      <c r="C13" s="12">
        <f>+zadania!H276+zadania!H310+zadania!H387</f>
        <v>31166225</v>
      </c>
      <c r="D13" s="12">
        <f>+zadania!I276+zadania!I310+zadania!I387</f>
        <v>12848480.790000001</v>
      </c>
      <c r="E13" s="124">
        <f t="shared" si="0"/>
        <v>4.4576832698054625E-2</v>
      </c>
      <c r="F13" s="12">
        <f>+D13-C13*25%</f>
        <v>5056924.540000001</v>
      </c>
    </row>
    <row r="14" spans="2:6" x14ac:dyDescent="0.2">
      <c r="B14" s="13" t="s">
        <v>345</v>
      </c>
      <c r="C14" s="14">
        <f>+zadania!H316+zadania!H348+zadania!H507+zadania!H510</f>
        <v>46073461</v>
      </c>
      <c r="D14" s="14">
        <f>+zadania!I316+zadania!I348+zadania!I507+zadania!I510</f>
        <v>10784336.129999999</v>
      </c>
      <c r="E14" s="124">
        <f t="shared" si="0"/>
        <v>3.7415438858791006E-2</v>
      </c>
      <c r="F14" s="12">
        <f t="shared" si="1"/>
        <v>-734029.12000000104</v>
      </c>
    </row>
    <row r="15" spans="2:6" x14ac:dyDescent="0.2">
      <c r="B15" s="11" t="s">
        <v>347</v>
      </c>
      <c r="C15" s="12">
        <f>+zadania!H259+zadania!H263</f>
        <v>38237643</v>
      </c>
      <c r="D15" s="12">
        <f>+zadania!I259+zadania!I263</f>
        <v>6311060.2199999997</v>
      </c>
      <c r="E15" s="124">
        <f t="shared" si="0"/>
        <v>2.1895746288794333E-2</v>
      </c>
      <c r="F15" s="12">
        <f t="shared" si="1"/>
        <v>-3248350.5300000003</v>
      </c>
    </row>
    <row r="16" spans="2:6" ht="15.75" thickBot="1" x14ac:dyDescent="0.25">
      <c r="B16" s="15" t="s">
        <v>348</v>
      </c>
      <c r="C16" s="12">
        <f>+zadania!H162+zadania!H174+zadania!H496</f>
        <v>10090534</v>
      </c>
      <c r="D16" s="12">
        <f>+zadania!I162+zadania!I174+zadania!I496</f>
        <v>3930758.2800000003</v>
      </c>
      <c r="E16" s="124">
        <f t="shared" si="0"/>
        <v>1.3637468669480958E-2</v>
      </c>
      <c r="F16" s="12">
        <f t="shared" si="1"/>
        <v>1408124.7800000003</v>
      </c>
    </row>
    <row r="17" spans="2:6" ht="16.5" thickBot="1" x14ac:dyDescent="0.25">
      <c r="B17" s="16" t="s">
        <v>349</v>
      </c>
      <c r="C17" s="17">
        <f>SUM(C8:C16)</f>
        <v>936204728</v>
      </c>
      <c r="D17" s="17">
        <f>SUM(D8:D16)</f>
        <v>288232250.07999998</v>
      </c>
      <c r="E17" s="18">
        <f>+D17/D17*100</f>
        <v>100</v>
      </c>
      <c r="F17" s="17">
        <f>SUM(F8:F16)</f>
        <v>54181068.079999983</v>
      </c>
    </row>
    <row r="19" spans="2:6" x14ac:dyDescent="0.2">
      <c r="C19" s="19">
        <f>+zadania!H9</f>
        <v>936204728</v>
      </c>
      <c r="D19" s="19">
        <f>+zadania!I9</f>
        <v>288232250.19</v>
      </c>
      <c r="F19" s="19">
        <f>+zadania!L9</f>
        <v>-179870113.81</v>
      </c>
    </row>
    <row r="20" spans="2:6" x14ac:dyDescent="0.2">
      <c r="C20" s="19">
        <f>+C19-C17</f>
        <v>0</v>
      </c>
      <c r="D20" s="19">
        <f>+D19-D17</f>
        <v>0.11000001430511475</v>
      </c>
      <c r="F20" s="19">
        <f>+F19-F17</f>
        <v>-234051181.88999999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zadania</vt:lpstr>
      <vt:lpstr>dziedziny</vt:lpstr>
      <vt:lpstr>Arkusz3</vt:lpstr>
      <vt:lpstr>zadania!Obszar_wydruku</vt:lpstr>
      <vt:lpstr>zadania!Tytuły_wydruku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djedrzejewska</dc:creator>
  <cp:lastModifiedBy>Magdalena Nowocień</cp:lastModifiedBy>
  <cp:lastPrinted>2012-08-30T11:32:22Z</cp:lastPrinted>
  <dcterms:created xsi:type="dcterms:W3CDTF">2012-04-30T12:58:24Z</dcterms:created>
  <dcterms:modified xsi:type="dcterms:W3CDTF">2012-08-30T11:32:24Z</dcterms:modified>
</cp:coreProperties>
</file>